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drawings/drawing16.xml" ContentType="application/vnd.openxmlformats-officedocument.drawingml.chartshapes+xml"/>
  <Override PartName="/xl/charts/chart15.xml" ContentType="application/vnd.openxmlformats-officedocument.drawingml.chart+xml"/>
  <Override PartName="/xl/drawings/drawing17.xml" ContentType="application/vnd.openxmlformats-officedocument.drawingml.chartshapes+xml"/>
  <Override PartName="/xl/charts/chart16.xml" ContentType="application/vnd.openxmlformats-officedocument.drawingml.chart+xml"/>
  <Override PartName="/xl/drawings/drawing18.xml" ContentType="application/vnd.openxmlformats-officedocument.drawingml.chartshapes+xml"/>
  <Override PartName="/xl/charts/chart17.xml" ContentType="application/vnd.openxmlformats-officedocument.drawingml.chart+xml"/>
  <Override PartName="/xl/drawings/drawing19.xml" ContentType="application/vnd.openxmlformats-officedocument.drawingml.chartshapes+xml"/>
  <Override PartName="/xl/charts/chart18.xml" ContentType="application/vnd.openxmlformats-officedocument.drawingml.chart+xml"/>
  <Override PartName="/xl/drawings/drawing20.xml" ContentType="application/vnd.openxmlformats-officedocument.drawingml.chartshapes+xml"/>
  <Override PartName="/xl/charts/chart19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workbookProtection workbookAlgorithmName="SHA-512" workbookHashValue="JX2OCTO46L9RPnpAkYqFyaEMlZ6mfPZZzXbWYXh6Lgk+guW/YD6/bNr5vi/X6fVdHr3ctGYG4Lx6YyAfOHaqfw==" workbookSaltValue="ogdP5wbAXT9riqFFa0iZPQ==" workbookSpinCount="100000" lockStructure="1"/>
  <bookViews>
    <workbookView xWindow="1425" yWindow="180" windowWidth="14475" windowHeight="11325" activeTab="1"/>
  </bookViews>
  <sheets>
    <sheet name="Sieve Analysis" sheetId="7" r:id="rId1"/>
    <sheet name="Mix Design" sheetId="6" r:id="rId2"/>
    <sheet name="Sheet5" sheetId="2" state="hidden" r:id="rId3"/>
    <sheet name="Sheet3" sheetId="3" state="hidden" r:id="rId4"/>
    <sheet name="Sheet4" sheetId="4" state="hidden" r:id="rId5"/>
  </sheets>
  <calcPr calcId="152511"/>
</workbook>
</file>

<file path=xl/calcChain.xml><?xml version="1.0" encoding="utf-8"?>
<calcChain xmlns="http://schemas.openxmlformats.org/spreadsheetml/2006/main">
  <c r="D51" i="6" l="1"/>
  <c r="C37" i="6"/>
  <c r="E16" i="6" l="1"/>
  <c r="G12" i="6"/>
  <c r="C22" i="6"/>
  <c r="C24" i="6"/>
  <c r="C23" i="6"/>
  <c r="G11" i="6"/>
  <c r="G13" i="6"/>
  <c r="G9" i="6"/>
  <c r="G10" i="6"/>
  <c r="G8" i="6"/>
  <c r="G7" i="6"/>
  <c r="G15" i="6"/>
  <c r="C21" i="6" l="1"/>
  <c r="E67" i="7"/>
  <c r="E41" i="7" l="1"/>
  <c r="E69" i="7" l="1"/>
  <c r="E68" i="7"/>
  <c r="E66" i="7"/>
  <c r="E65" i="7"/>
  <c r="E64" i="7"/>
  <c r="E63" i="7"/>
  <c r="E62" i="7"/>
  <c r="E61" i="7"/>
  <c r="E60" i="7"/>
  <c r="E59" i="7"/>
  <c r="E58" i="7"/>
  <c r="E52" i="7"/>
  <c r="E51" i="7"/>
  <c r="E50" i="7"/>
  <c r="E49" i="7"/>
  <c r="E48" i="7"/>
  <c r="E47" i="7"/>
  <c r="E46" i="7"/>
  <c r="E45" i="7"/>
  <c r="E44" i="7"/>
  <c r="E43" i="7"/>
  <c r="E42" i="7"/>
  <c r="E24" i="7"/>
  <c r="E35" i="7"/>
  <c r="E34" i="7"/>
  <c r="E33" i="7"/>
  <c r="E32" i="7"/>
  <c r="E31" i="7"/>
  <c r="E30" i="7"/>
  <c r="E29" i="7"/>
  <c r="E28" i="7"/>
  <c r="E27" i="7"/>
  <c r="E26" i="7"/>
  <c r="E25" i="7"/>
  <c r="E8" i="7"/>
  <c r="E9" i="7"/>
  <c r="E10" i="7"/>
  <c r="E11" i="7"/>
  <c r="E12" i="7"/>
  <c r="E13" i="7"/>
  <c r="E14" i="7"/>
  <c r="E15" i="7"/>
  <c r="E16" i="7"/>
  <c r="E17" i="7"/>
  <c r="E18" i="7"/>
  <c r="E7" i="7"/>
  <c r="E70" i="7" l="1"/>
  <c r="E53" i="7"/>
  <c r="F52" i="7" s="1"/>
  <c r="F60" i="7"/>
  <c r="E36" i="7"/>
  <c r="F32" i="7" s="1"/>
  <c r="F24" i="7"/>
  <c r="G24" i="7" s="1"/>
  <c r="E19" i="7"/>
  <c r="F44" i="7"/>
  <c r="F30" i="7"/>
  <c r="F46" i="7"/>
  <c r="F48" i="7" l="1"/>
  <c r="F42" i="7"/>
  <c r="F25" i="7"/>
  <c r="G25" i="7" s="1"/>
  <c r="G26" i="7" s="1"/>
  <c r="G27" i="7" s="1"/>
  <c r="G28" i="7" s="1"/>
  <c r="F26" i="7"/>
  <c r="F50" i="7"/>
  <c r="F47" i="7"/>
  <c r="F43" i="7"/>
  <c r="F51" i="7"/>
  <c r="F45" i="7"/>
  <c r="F49" i="7"/>
  <c r="F41" i="7"/>
  <c r="G41" i="7" s="1"/>
  <c r="G42" i="7" s="1"/>
  <c r="G43" i="7" s="1"/>
  <c r="G44" i="7" s="1"/>
  <c r="G45" i="7" s="1"/>
  <c r="G46" i="7" s="1"/>
  <c r="G47" i="7" s="1"/>
  <c r="G48" i="7" s="1"/>
  <c r="G49" i="7" s="1"/>
  <c r="G50" i="7" s="1"/>
  <c r="G51" i="7" s="1"/>
  <c r="G52" i="7" s="1"/>
  <c r="F68" i="7"/>
  <c r="F64" i="7"/>
  <c r="F62" i="7"/>
  <c r="F69" i="7"/>
  <c r="F58" i="7"/>
  <c r="F59" i="7"/>
  <c r="F67" i="7"/>
  <c r="F61" i="7"/>
  <c r="F66" i="7"/>
  <c r="F63" i="7"/>
  <c r="F65" i="7"/>
  <c r="F34" i="7"/>
  <c r="F27" i="7"/>
  <c r="F33" i="7"/>
  <c r="F35" i="7"/>
  <c r="F29" i="7"/>
  <c r="F28" i="7"/>
  <c r="F9" i="7"/>
  <c r="F31" i="7"/>
  <c r="F13" i="7"/>
  <c r="F17" i="7"/>
  <c r="F10" i="7"/>
  <c r="F8" i="7"/>
  <c r="F15" i="7"/>
  <c r="F18" i="7"/>
  <c r="F14" i="7"/>
  <c r="F11" i="7"/>
  <c r="F7" i="7"/>
  <c r="F12" i="7"/>
  <c r="F16" i="7"/>
  <c r="G14" i="6"/>
  <c r="G16" i="6" s="1"/>
  <c r="E17" i="6" s="1"/>
  <c r="G58" i="7" l="1"/>
  <c r="H58" i="7"/>
  <c r="H59" i="7" s="1"/>
  <c r="H60" i="7" s="1"/>
  <c r="H61" i="7" s="1"/>
  <c r="H62" i="7" s="1"/>
  <c r="H63" i="7" s="1"/>
  <c r="G59" i="7"/>
  <c r="G60" i="7" s="1"/>
  <c r="G61" i="7" s="1"/>
  <c r="G62" i="7" s="1"/>
  <c r="G63" i="7" s="1"/>
  <c r="G64" i="7" s="1"/>
  <c r="G65" i="7" s="1"/>
  <c r="G66" i="7" s="1"/>
  <c r="G67" i="7" s="1"/>
  <c r="G68" i="7" s="1"/>
  <c r="G69" i="7" s="1"/>
  <c r="G29" i="7"/>
  <c r="G30" i="7" s="1"/>
  <c r="G31" i="7" s="1"/>
  <c r="G32" i="7" s="1"/>
  <c r="G33" i="7" s="1"/>
  <c r="G34" i="7" s="1"/>
  <c r="G35" i="7" s="1"/>
  <c r="G7" i="7"/>
  <c r="G8" i="7" l="1"/>
  <c r="H64" i="7"/>
  <c r="H65" i="7" s="1"/>
  <c r="H66" i="7" s="1"/>
  <c r="H67" i="7" s="1"/>
  <c r="H68" i="7" s="1"/>
  <c r="H69" i="7" s="1"/>
  <c r="C38" i="6"/>
  <c r="G9" i="7" l="1"/>
  <c r="H70" i="7"/>
  <c r="D37" i="6"/>
  <c r="G37" i="6" s="1"/>
  <c r="D38" i="6"/>
  <c r="G38" i="6" s="1"/>
  <c r="G49" i="2"/>
  <c r="H49" i="2"/>
  <c r="G52" i="2"/>
  <c r="G54" i="2"/>
  <c r="CB1" i="2"/>
  <c r="CC1" i="2"/>
  <c r="G10" i="7" l="1"/>
  <c r="C39" i="6"/>
  <c r="C74" i="2"/>
  <c r="D74" i="2"/>
  <c r="B74" i="2"/>
  <c r="D39" i="6" l="1"/>
  <c r="G11" i="7"/>
  <c r="C40" i="6"/>
  <c r="BA21" i="4"/>
  <c r="BA20" i="4"/>
  <c r="BD21" i="4"/>
  <c r="BD20" i="4"/>
  <c r="BF21" i="4"/>
  <c r="BF20" i="4"/>
  <c r="BI20" i="4"/>
  <c r="AY20" i="4" s="1"/>
  <c r="BH20" i="4"/>
  <c r="AZ20" i="4" s="1"/>
  <c r="BH12" i="4"/>
  <c r="BK16" i="4"/>
  <c r="BF15" i="4"/>
  <c r="BI12" i="4"/>
  <c r="AY12" i="4" s="1"/>
  <c r="AZ12" i="4"/>
  <c r="AL15" i="4"/>
  <c r="AM22" i="4"/>
  <c r="AM29" i="4" s="1"/>
  <c r="AL22" i="4"/>
  <c r="AL29" i="4" s="1"/>
  <c r="AJ22" i="4"/>
  <c r="AJ29" i="4" s="1"/>
  <c r="AI22" i="4"/>
  <c r="AI29" i="4" s="1"/>
  <c r="AH22" i="4"/>
  <c r="AH29" i="4" s="1"/>
  <c r="AG22" i="4"/>
  <c r="AG29" i="4" s="1"/>
  <c r="AM21" i="4"/>
  <c r="AM28" i="4" s="1"/>
  <c r="AL21" i="4"/>
  <c r="AL28" i="4" s="1"/>
  <c r="AJ21" i="4"/>
  <c r="AJ28" i="4" s="1"/>
  <c r="AI21" i="4"/>
  <c r="AI28" i="4" s="1"/>
  <c r="AH21" i="4"/>
  <c r="AH28" i="4" s="1"/>
  <c r="AG21" i="4"/>
  <c r="AG28" i="4" s="1"/>
  <c r="AM20" i="4"/>
  <c r="AM30" i="4" s="1"/>
  <c r="AL20" i="4"/>
  <c r="AL30" i="4" s="1"/>
  <c r="AJ20" i="4"/>
  <c r="AJ30" i="4" s="1"/>
  <c r="AI20" i="4"/>
  <c r="AI30" i="4" s="1"/>
  <c r="AH20" i="4"/>
  <c r="AH30" i="4" s="1"/>
  <c r="AG20" i="4"/>
  <c r="AG30" i="4" s="1"/>
  <c r="AQ16" i="4"/>
  <c r="AO12" i="4"/>
  <c r="AE12" i="4" s="1"/>
  <c r="AN12" i="4"/>
  <c r="AN20" i="4" s="1"/>
  <c r="AN28" i="4" s="1"/>
  <c r="G12" i="7" l="1"/>
  <c r="C41" i="6"/>
  <c r="D41" i="6" s="1"/>
  <c r="G41" i="6" s="1"/>
  <c r="D40" i="6"/>
  <c r="G40" i="6" s="1"/>
  <c r="G39" i="6"/>
  <c r="AL31" i="4"/>
  <c r="BF23" i="4"/>
  <c r="BK24" i="4"/>
  <c r="BK27" i="4" s="1"/>
  <c r="AF12" i="4"/>
  <c r="AF20" i="4" s="1"/>
  <c r="AF28" i="4" s="1"/>
  <c r="AL23" i="4"/>
  <c r="BC24" i="4"/>
  <c r="BC16" i="4"/>
  <c r="AQ24" i="4"/>
  <c r="AE20" i="4"/>
  <c r="AQ32" i="4"/>
  <c r="AO20" i="4"/>
  <c r="AO28" i="4" s="1"/>
  <c r="AE28" i="4" s="1"/>
  <c r="CI32" i="3"/>
  <c r="CI31" i="3"/>
  <c r="CI30" i="3"/>
  <c r="CI29" i="3"/>
  <c r="CI28" i="3"/>
  <c r="CI27" i="3"/>
  <c r="CI26" i="3"/>
  <c r="CI25" i="3"/>
  <c r="CI24" i="3"/>
  <c r="CI23" i="3"/>
  <c r="CI22" i="3"/>
  <c r="CI21" i="3"/>
  <c r="CI20" i="3"/>
  <c r="CI19" i="3"/>
  <c r="BZ18" i="3"/>
  <c r="BZ19" i="3"/>
  <c r="BZ20" i="3"/>
  <c r="BZ21" i="3"/>
  <c r="BZ22" i="3"/>
  <c r="BZ23" i="3"/>
  <c r="BZ24" i="3"/>
  <c r="BZ25" i="3"/>
  <c r="BZ26" i="3"/>
  <c r="BZ27" i="3"/>
  <c r="BZ28" i="3"/>
  <c r="BZ29" i="3"/>
  <c r="BZ30" i="3"/>
  <c r="BZ31" i="3"/>
  <c r="BZ32" i="3"/>
  <c r="BZ33" i="3"/>
  <c r="BZ34" i="3"/>
  <c r="BZ35" i="3"/>
  <c r="BZ36" i="3"/>
  <c r="BZ37" i="3"/>
  <c r="BZ38" i="3"/>
  <c r="BZ39" i="3"/>
  <c r="BZ40" i="3"/>
  <c r="BZ41" i="3"/>
  <c r="BZ42" i="3"/>
  <c r="BZ43" i="3"/>
  <c r="BZ44" i="3"/>
  <c r="BZ45" i="3"/>
  <c r="BZ46" i="3"/>
  <c r="BZ47" i="3"/>
  <c r="BZ48" i="3"/>
  <c r="BZ49" i="3"/>
  <c r="BZ50" i="3"/>
  <c r="BZ51" i="3"/>
  <c r="BZ52" i="3"/>
  <c r="BZ53" i="3"/>
  <c r="BZ54" i="3"/>
  <c r="BZ55" i="3"/>
  <c r="BZ56" i="3"/>
  <c r="BZ57" i="3"/>
  <c r="BZ58" i="3"/>
  <c r="BZ59" i="3"/>
  <c r="BZ60" i="3"/>
  <c r="G13" i="7" l="1"/>
  <c r="C42" i="6"/>
  <c r="AI32" i="4"/>
  <c r="AI24" i="4"/>
  <c r="AI16" i="4"/>
  <c r="BC27" i="4"/>
  <c r="AQ36" i="4"/>
  <c r="G14" i="7" l="1"/>
  <c r="C43" i="6"/>
  <c r="D43" i="6" s="1"/>
  <c r="D42" i="6"/>
  <c r="AI36" i="4"/>
  <c r="I55" i="4"/>
  <c r="G55" i="4" s="1"/>
  <c r="J55" i="4"/>
  <c r="K55" i="4"/>
  <c r="L56" i="4"/>
  <c r="O60" i="4" s="1"/>
  <c r="L55" i="4"/>
  <c r="M57" i="4"/>
  <c r="L45" i="4"/>
  <c r="L44" i="4"/>
  <c r="M47" i="4"/>
  <c r="K44" i="4"/>
  <c r="G43" i="6" l="1"/>
  <c r="G42" i="6"/>
  <c r="G15" i="7"/>
  <c r="C44" i="6"/>
  <c r="D44" i="6" s="1"/>
  <c r="G44" i="6" s="1"/>
  <c r="L57" i="4"/>
  <c r="I44" i="4"/>
  <c r="G44" i="4" s="1"/>
  <c r="O50" i="4"/>
  <c r="L47" i="4"/>
  <c r="H55" i="4"/>
  <c r="F55" i="4" s="1"/>
  <c r="M60" i="4" s="1"/>
  <c r="N60" i="4"/>
  <c r="J44" i="4"/>
  <c r="N50" i="4"/>
  <c r="I36" i="4"/>
  <c r="I35" i="4"/>
  <c r="I34" i="4"/>
  <c r="G30" i="4"/>
  <c r="F30" i="4"/>
  <c r="L31" i="4"/>
  <c r="G29" i="4"/>
  <c r="F29" i="4"/>
  <c r="G28" i="4"/>
  <c r="F28" i="4"/>
  <c r="AC51" i="4"/>
  <c r="AC50" i="4"/>
  <c r="AC49" i="4"/>
  <c r="AC48" i="4"/>
  <c r="AC47" i="4"/>
  <c r="AC46" i="4"/>
  <c r="AC45" i="4"/>
  <c r="G16" i="7" l="1"/>
  <c r="C45" i="6"/>
  <c r="H44" i="4"/>
  <c r="F44" i="4" s="1"/>
  <c r="M50" i="4" s="1"/>
  <c r="L50" i="4" s="1"/>
  <c r="F34" i="4"/>
  <c r="F36" i="4"/>
  <c r="L60" i="4"/>
  <c r="J35" i="4"/>
  <c r="F35" i="4"/>
  <c r="G36" i="4"/>
  <c r="G31" i="4"/>
  <c r="J34" i="4"/>
  <c r="G34" i="4"/>
  <c r="H34" i="4" s="1"/>
  <c r="G35" i="4"/>
  <c r="F31" i="4"/>
  <c r="G17" i="7" l="1"/>
  <c r="C46" i="6"/>
  <c r="D46" i="6" s="1"/>
  <c r="G46" i="6" s="1"/>
  <c r="D45" i="6"/>
  <c r="E51" i="6" s="1"/>
  <c r="H35" i="4"/>
  <c r="H36" i="4"/>
  <c r="F32" i="3"/>
  <c r="AZ73" i="3"/>
  <c r="BC73" i="3" s="1"/>
  <c r="AZ76" i="3"/>
  <c r="AZ74" i="3"/>
  <c r="AZ75" i="3"/>
  <c r="BC75" i="3" s="1"/>
  <c r="AZ69" i="3"/>
  <c r="BC69" i="3" s="1"/>
  <c r="AZ78" i="3"/>
  <c r="AZ72" i="3"/>
  <c r="AZ65" i="3"/>
  <c r="BC65" i="3" s="1"/>
  <c r="AZ66" i="3"/>
  <c r="BC66" i="3" s="1"/>
  <c r="AZ77" i="3"/>
  <c r="BC77" i="3" s="1"/>
  <c r="AZ70" i="3"/>
  <c r="AZ67" i="3"/>
  <c r="BC67" i="3" s="1"/>
  <c r="AZ71" i="3"/>
  <c r="BC71" i="3" s="1"/>
  <c r="AZ68" i="3"/>
  <c r="BC68" i="3" s="1"/>
  <c r="AZ60" i="3"/>
  <c r="AZ59" i="3"/>
  <c r="AZ56" i="3"/>
  <c r="AZ55" i="3"/>
  <c r="AZ51" i="3"/>
  <c r="AZ52" i="3"/>
  <c r="BC52" i="3" s="1"/>
  <c r="AZ61" i="3"/>
  <c r="BC61" i="3" s="1"/>
  <c r="AZ58" i="3"/>
  <c r="BC58" i="3" s="1"/>
  <c r="AZ57" i="3"/>
  <c r="BC57" i="3" s="1"/>
  <c r="AZ54" i="3"/>
  <c r="BC54" i="3" s="1"/>
  <c r="AZ53" i="3"/>
  <c r="BC53" i="3" s="1"/>
  <c r="AZ50" i="3"/>
  <c r="BC50" i="3" s="1"/>
  <c r="AZ49" i="3"/>
  <c r="BC49" i="3" s="1"/>
  <c r="AZ48" i="3"/>
  <c r="BC48" i="3" s="1"/>
  <c r="AZ37" i="3"/>
  <c r="AZ38" i="3"/>
  <c r="AZ39" i="3"/>
  <c r="AZ40" i="3"/>
  <c r="AZ41" i="3"/>
  <c r="AZ36" i="3"/>
  <c r="BC36" i="3" s="1"/>
  <c r="AZ33" i="3"/>
  <c r="BC33" i="3" s="1"/>
  <c r="AZ30" i="3"/>
  <c r="BC30" i="3" s="1"/>
  <c r="AZ35" i="3"/>
  <c r="BC35" i="3" s="1"/>
  <c r="AZ28" i="3"/>
  <c r="BC28" i="3" s="1"/>
  <c r="AZ32" i="3"/>
  <c r="BC32" i="3" s="1"/>
  <c r="AZ29" i="3"/>
  <c r="BC29" i="3" s="1"/>
  <c r="AZ34" i="3"/>
  <c r="BC34" i="3" s="1"/>
  <c r="AZ31" i="3"/>
  <c r="BC31" i="3" s="1"/>
  <c r="F45" i="3"/>
  <c r="F44" i="3"/>
  <c r="F43" i="3"/>
  <c r="F42" i="3"/>
  <c r="F41" i="3"/>
  <c r="F40" i="3"/>
  <c r="I40" i="3" s="1"/>
  <c r="F39" i="3"/>
  <c r="I39" i="3" s="1"/>
  <c r="F38" i="3"/>
  <c r="I38" i="3" s="1"/>
  <c r="F37" i="3"/>
  <c r="I37" i="3" s="1"/>
  <c r="F36" i="3"/>
  <c r="I36" i="3" s="1"/>
  <c r="F35" i="3"/>
  <c r="I35" i="3" s="1"/>
  <c r="F34" i="3"/>
  <c r="I34" i="3" s="1"/>
  <c r="F33" i="3"/>
  <c r="G18" i="7" l="1"/>
  <c r="C47" i="6"/>
  <c r="D47" i="6" s="1"/>
  <c r="G47" i="6" s="1"/>
  <c r="G45" i="6"/>
  <c r="H37" i="4"/>
  <c r="E74" i="2"/>
  <c r="C48" i="6" l="1"/>
  <c r="D48" i="6" s="1"/>
  <c r="D78" i="2"/>
  <c r="C78" i="2"/>
  <c r="B78" i="2"/>
  <c r="E174" i="2"/>
  <c r="D174" i="2"/>
  <c r="C174" i="2"/>
  <c r="B174" i="2"/>
  <c r="D153" i="2"/>
  <c r="C153" i="2"/>
  <c r="B153" i="2"/>
  <c r="G48" i="6" l="1"/>
  <c r="D53" i="6"/>
  <c r="E53" i="6" s="1"/>
  <c r="D49" i="6"/>
  <c r="E78" i="2"/>
  <c r="F174" i="2"/>
  <c r="B177" i="2" s="1"/>
  <c r="E153" i="2"/>
  <c r="D150" i="2" l="1"/>
  <c r="C150" i="2"/>
  <c r="B150" i="2"/>
  <c r="E150" i="2" l="1"/>
  <c r="B154" i="2" s="1"/>
  <c r="B155" i="2" s="1"/>
  <c r="E225" i="2" l="1"/>
  <c r="D228" i="2" s="1"/>
  <c r="E86" i="2"/>
  <c r="D90" i="2" s="1"/>
  <c r="E113" i="2"/>
  <c r="D116" i="2" s="1"/>
  <c r="E140" i="2"/>
  <c r="D143" i="2" s="1"/>
  <c r="E168" i="2"/>
  <c r="D171" i="2" s="1"/>
  <c r="E197" i="2"/>
  <c r="D200" i="2" s="1"/>
  <c r="I61" i="2" l="1"/>
  <c r="B228" i="2"/>
  <c r="C228" i="2"/>
  <c r="B200" i="2"/>
  <c r="C200" i="2"/>
  <c r="B171" i="2"/>
  <c r="C171" i="2"/>
  <c r="B143" i="2"/>
  <c r="C143" i="2"/>
  <c r="B116" i="2"/>
  <c r="C116" i="2"/>
  <c r="B90" i="2"/>
  <c r="C90" i="2"/>
  <c r="I92" i="2" l="1"/>
  <c r="I237" i="2"/>
  <c r="I233" i="2"/>
  <c r="I229" i="2"/>
  <c r="I236" i="2"/>
  <c r="I232" i="2"/>
  <c r="I228" i="2"/>
  <c r="I235" i="2"/>
  <c r="I231" i="2"/>
  <c r="I227" i="2"/>
  <c r="I234" i="2"/>
  <c r="I230" i="2"/>
  <c r="I226" i="2"/>
  <c r="I209" i="2"/>
  <c r="I205" i="2"/>
  <c r="I201" i="2"/>
  <c r="I208" i="2"/>
  <c r="I204" i="2"/>
  <c r="I200" i="2"/>
  <c r="I207" i="2"/>
  <c r="I203" i="2"/>
  <c r="I199" i="2"/>
  <c r="I206" i="2"/>
  <c r="I202" i="2"/>
  <c r="I198" i="2"/>
  <c r="I180" i="2"/>
  <c r="I176" i="2"/>
  <c r="I172" i="2"/>
  <c r="I179" i="2"/>
  <c r="I175" i="2"/>
  <c r="AG188" i="2" s="1"/>
  <c r="I171" i="2"/>
  <c r="I178" i="2"/>
  <c r="I174" i="2"/>
  <c r="I170" i="2"/>
  <c r="I177" i="2"/>
  <c r="I173" i="2"/>
  <c r="I169" i="2"/>
  <c r="I152" i="2"/>
  <c r="I148" i="2"/>
  <c r="I144" i="2"/>
  <c r="I151" i="2"/>
  <c r="I147" i="2"/>
  <c r="AG160" i="2" s="1"/>
  <c r="I143" i="2"/>
  <c r="I150" i="2"/>
  <c r="I146" i="2"/>
  <c r="I142" i="2"/>
  <c r="I149" i="2"/>
  <c r="I145" i="2"/>
  <c r="I141" i="2"/>
  <c r="I125" i="2"/>
  <c r="I121" i="2"/>
  <c r="I117" i="2"/>
  <c r="I124" i="2"/>
  <c r="I120" i="2"/>
  <c r="I116" i="2"/>
  <c r="I123" i="2"/>
  <c r="I119" i="2"/>
  <c r="I115" i="2"/>
  <c r="I122" i="2"/>
  <c r="I118" i="2"/>
  <c r="I114" i="2"/>
  <c r="I96" i="2"/>
  <c r="I88" i="2"/>
  <c r="I98" i="2"/>
  <c r="I93" i="2"/>
  <c r="AG104" i="2" s="1"/>
  <c r="I87" i="2"/>
  <c r="I97" i="2"/>
  <c r="I91" i="2"/>
  <c r="I95" i="2"/>
  <c r="I90" i="2"/>
  <c r="I94" i="2"/>
  <c r="I89" i="2"/>
  <c r="M68" i="2" l="1"/>
  <c r="M72" i="2" s="1"/>
  <c r="M67" i="2"/>
  <c r="M71" i="2" s="1"/>
  <c r="L67" i="2"/>
  <c r="L71" i="2" s="1"/>
  <c r="I70" i="2" l="1"/>
  <c r="I66" i="2"/>
  <c r="I62" i="2"/>
  <c r="I69" i="2"/>
  <c r="I65" i="2"/>
  <c r="I72" i="2"/>
  <c r="I68" i="2"/>
  <c r="I64" i="2"/>
  <c r="I71" i="2"/>
  <c r="I67" i="2"/>
  <c r="AG77" i="2" s="1"/>
  <c r="I63" i="2"/>
  <c r="AG217" i="2"/>
  <c r="AG132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K226" i="2" s="1"/>
  <c r="J209" i="2"/>
  <c r="J208" i="2"/>
  <c r="J207" i="2"/>
  <c r="J206" i="2"/>
  <c r="J205" i="2"/>
  <c r="J204" i="2"/>
  <c r="J203" i="2"/>
  <c r="J202" i="2"/>
  <c r="J201" i="2"/>
  <c r="J200" i="2"/>
  <c r="J199" i="2"/>
  <c r="J198" i="2"/>
  <c r="K198" i="2" s="1"/>
  <c r="J180" i="2"/>
  <c r="J179" i="2"/>
  <c r="J178" i="2"/>
  <c r="J177" i="2"/>
  <c r="J176" i="2"/>
  <c r="J175" i="2"/>
  <c r="J174" i="2"/>
  <c r="J173" i="2"/>
  <c r="J172" i="2"/>
  <c r="J171" i="2"/>
  <c r="J170" i="2"/>
  <c r="J169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98" i="2"/>
  <c r="J97" i="2"/>
  <c r="J96" i="2"/>
  <c r="J95" i="2"/>
  <c r="J94" i="2"/>
  <c r="J93" i="2"/>
  <c r="J92" i="2"/>
  <c r="J91" i="2"/>
  <c r="J90" i="2"/>
  <c r="J89" i="2"/>
  <c r="J88" i="2"/>
  <c r="J87" i="2"/>
  <c r="J66" i="2" l="1"/>
  <c r="J72" i="2"/>
  <c r="J64" i="2"/>
  <c r="J69" i="2"/>
  <c r="J68" i="2"/>
  <c r="J65" i="2"/>
  <c r="J70" i="2"/>
  <c r="J62" i="2"/>
  <c r="J61" i="2"/>
  <c r="J63" i="2"/>
  <c r="J67" i="2"/>
  <c r="J71" i="2"/>
  <c r="K199" i="2"/>
  <c r="K200" i="2" s="1"/>
  <c r="K201" i="2" s="1"/>
  <c r="K202" i="2" s="1"/>
  <c r="K227" i="2"/>
  <c r="K228" i="2" s="1"/>
  <c r="K229" i="2" s="1"/>
  <c r="K230" i="2" l="1"/>
  <c r="K203" i="2"/>
  <c r="K204" i="2" s="1"/>
  <c r="K205" i="2" s="1"/>
  <c r="K206" i="2" s="1"/>
  <c r="K207" i="2" s="1"/>
  <c r="K208" i="2" s="1"/>
  <c r="K209" i="2" s="1"/>
  <c r="B63" i="2"/>
  <c r="BC51" i="3" l="1"/>
  <c r="I41" i="3"/>
  <c r="BC70" i="3"/>
  <c r="BC41" i="3"/>
  <c r="AB135" i="3"/>
  <c r="AB80" i="3"/>
  <c r="AB108" i="3"/>
  <c r="AB24" i="3"/>
  <c r="AB52" i="3"/>
  <c r="AG216" i="2"/>
  <c r="K231" i="2"/>
  <c r="K232" i="2" s="1"/>
  <c r="K233" i="2" s="1"/>
  <c r="K234" i="2" s="1"/>
  <c r="K235" i="2" s="1"/>
  <c r="K236" i="2" s="1"/>
  <c r="K237" i="2" s="1"/>
  <c r="K89" i="2"/>
  <c r="K90" i="2" s="1"/>
  <c r="K91" i="2" s="1"/>
  <c r="K170" i="2"/>
  <c r="K116" i="2"/>
  <c r="K117" i="2" s="1"/>
  <c r="K118" i="2" s="1"/>
  <c r="K171" i="2"/>
  <c r="K172" i="2" s="1"/>
  <c r="K173" i="2" s="1"/>
  <c r="K115" i="2"/>
  <c r="K169" i="2"/>
  <c r="K143" i="2"/>
  <c r="K144" i="2" s="1"/>
  <c r="K142" i="2"/>
  <c r="K141" i="2"/>
  <c r="K114" i="2"/>
  <c r="K88" i="2"/>
  <c r="K87" i="2"/>
  <c r="D70" i="2"/>
  <c r="E70" i="2" s="1"/>
  <c r="D69" i="2"/>
  <c r="E69" i="2" s="1"/>
  <c r="D68" i="2"/>
  <c r="E68" i="2" s="1"/>
  <c r="D67" i="2"/>
  <c r="E67" i="2" s="1"/>
  <c r="D66" i="2"/>
  <c r="E66" i="2" s="1"/>
  <c r="D65" i="2"/>
  <c r="E65" i="2" s="1"/>
  <c r="D64" i="2"/>
  <c r="E64" i="2" s="1"/>
  <c r="D63" i="2"/>
  <c r="E63" i="2" s="1"/>
  <c r="D62" i="2"/>
  <c r="E62" i="2" s="1"/>
  <c r="D61" i="2"/>
  <c r="E61" i="2" s="1"/>
  <c r="L68" i="2" s="1"/>
  <c r="D60" i="2"/>
  <c r="E60" i="2" s="1"/>
  <c r="L63" i="2" s="1"/>
  <c r="D59" i="2"/>
  <c r="E59" i="2" s="1"/>
  <c r="L72" i="2" s="1"/>
  <c r="K145" i="2" l="1"/>
  <c r="K92" i="2"/>
  <c r="K93" i="2" s="1"/>
  <c r="K94" i="2" s="1"/>
  <c r="K95" i="2" s="1"/>
  <c r="K96" i="2" s="1"/>
  <c r="K97" i="2" s="1"/>
  <c r="K98" i="2" s="1"/>
  <c r="K174" i="2"/>
  <c r="K175" i="2" s="1"/>
  <c r="K176" i="2" s="1"/>
  <c r="K177" i="2" s="1"/>
  <c r="K178" i="2" s="1"/>
  <c r="K179" i="2" s="1"/>
  <c r="K180" i="2" s="1"/>
  <c r="K119" i="2"/>
  <c r="K120" i="2" s="1"/>
  <c r="K121" i="2" s="1"/>
  <c r="K122" i="2" s="1"/>
  <c r="K123" i="2" s="1"/>
  <c r="K124" i="2" s="1"/>
  <c r="K125" i="2" s="1"/>
  <c r="AG187" i="2" l="1"/>
  <c r="AG131" i="2"/>
  <c r="K146" i="2"/>
  <c r="K147" i="2" s="1"/>
  <c r="AG159" i="2" s="1"/>
  <c r="AG103" i="2"/>
  <c r="K62" i="2"/>
  <c r="K148" i="2" l="1"/>
  <c r="K149" i="2" s="1"/>
  <c r="K150" i="2" s="1"/>
  <c r="K151" i="2" s="1"/>
  <c r="K152" i="2" s="1"/>
  <c r="K63" i="2"/>
  <c r="K64" i="2" s="1"/>
  <c r="K65" i="2" s="1"/>
  <c r="K61" i="2"/>
  <c r="K66" i="2" l="1"/>
  <c r="K67" i="2" l="1"/>
  <c r="K68" i="2" s="1"/>
  <c r="K69" i="2" s="1"/>
  <c r="K70" i="2" s="1"/>
  <c r="K71" i="2" s="1"/>
  <c r="K72" i="2" s="1"/>
  <c r="AG76" i="2" l="1"/>
</calcChain>
</file>

<file path=xl/sharedStrings.xml><?xml version="1.0" encoding="utf-8"?>
<sst xmlns="http://schemas.openxmlformats.org/spreadsheetml/2006/main" count="815" uniqueCount="240">
  <si>
    <t>1.5"</t>
  </si>
  <si>
    <t>1/2"</t>
  </si>
  <si>
    <t>#4</t>
  </si>
  <si>
    <t>1"</t>
  </si>
  <si>
    <t>3/8"</t>
  </si>
  <si>
    <t>#8</t>
  </si>
  <si>
    <t>3/4"</t>
  </si>
  <si>
    <t>#16</t>
  </si>
  <si>
    <t>#30</t>
  </si>
  <si>
    <t>#50</t>
  </si>
  <si>
    <t>#100</t>
  </si>
  <si>
    <t>Pan</t>
  </si>
  <si>
    <t>#200</t>
  </si>
  <si>
    <t>p^.45</t>
  </si>
  <si>
    <t>G3</t>
  </si>
  <si>
    <t>sand</t>
  </si>
  <si>
    <t>Sieve Number</t>
  </si>
  <si>
    <t>Grade 3</t>
  </si>
  <si>
    <t>Sand</t>
  </si>
  <si>
    <t>total</t>
  </si>
  <si>
    <t>Mix#</t>
  </si>
  <si>
    <t>Mix 2</t>
  </si>
  <si>
    <t>sieve(in)</t>
  </si>
  <si>
    <t>sieve(mm)</t>
  </si>
  <si>
    <t xml:space="preserve">Original Proportions </t>
  </si>
  <si>
    <r>
      <t>Sieve(</t>
    </r>
    <r>
      <rPr>
        <sz val="11"/>
        <color theme="1"/>
        <rFont val="Calibri"/>
        <family val="2"/>
      </rPr>
      <t>ʍ)</t>
    </r>
  </si>
  <si>
    <t>passing%</t>
  </si>
  <si>
    <t>Retaiened%</t>
  </si>
  <si>
    <t>%</t>
  </si>
  <si>
    <t>cum. Reatained%</t>
  </si>
  <si>
    <t>Combined mix proportions</t>
  </si>
  <si>
    <t>CF=</t>
  </si>
  <si>
    <t>WF=</t>
  </si>
  <si>
    <t>cement</t>
  </si>
  <si>
    <t>Fly Ash</t>
  </si>
  <si>
    <t>Max density Line</t>
  </si>
  <si>
    <t>Mix 7</t>
  </si>
  <si>
    <t>x</t>
  </si>
  <si>
    <t>y</t>
  </si>
  <si>
    <t>Workability Box</t>
  </si>
  <si>
    <t xml:space="preserve">CF </t>
  </si>
  <si>
    <t>WF</t>
  </si>
  <si>
    <t>Factor</t>
  </si>
  <si>
    <t>Mix 10</t>
  </si>
  <si>
    <t>Mix 14</t>
  </si>
  <si>
    <t>Mix 15</t>
  </si>
  <si>
    <t>Mix 17</t>
  </si>
  <si>
    <t>Mix 18</t>
  </si>
  <si>
    <t>high density line</t>
  </si>
  <si>
    <t>low density line</t>
  </si>
  <si>
    <t>sum=</t>
  </si>
  <si>
    <t xml:space="preserve">Sp. Gravity </t>
  </si>
  <si>
    <t>volume(ft^3)</t>
  </si>
  <si>
    <t>Agg.(ft^3)</t>
  </si>
  <si>
    <t>paste(ft^3)</t>
  </si>
  <si>
    <t>fly ash</t>
  </si>
  <si>
    <t>water</t>
  </si>
  <si>
    <t>fly ash(b)</t>
  </si>
  <si>
    <t>Water(b)</t>
  </si>
  <si>
    <t>cement(b)</t>
  </si>
  <si>
    <t>air content%</t>
  </si>
  <si>
    <t>air (ft^3)</t>
  </si>
  <si>
    <t>Agg. Volume=</t>
  </si>
  <si>
    <t xml:space="preserve">Paste </t>
  </si>
  <si>
    <t>Volume(ft^3/cy)</t>
  </si>
  <si>
    <t>air</t>
  </si>
  <si>
    <t>Total</t>
  </si>
  <si>
    <t xml:space="preserve">Trial </t>
  </si>
  <si>
    <t>Aggregate</t>
  </si>
  <si>
    <t>Aggregate Proportions</t>
  </si>
  <si>
    <t>Unit Weight</t>
  </si>
  <si>
    <t>No.</t>
  </si>
  <si>
    <t xml:space="preserve"> type &amp; Size </t>
  </si>
  <si>
    <t>SAND</t>
  </si>
  <si>
    <t xml:space="preserve"> (b/ft^3)</t>
  </si>
  <si>
    <t>SS</t>
  </si>
  <si>
    <t>Grade 3 &amp; 3/8"</t>
  </si>
  <si>
    <t>Grade 3, 3/8"/sand</t>
  </si>
  <si>
    <t>Grade 3/sand</t>
  </si>
  <si>
    <t>pass #8</t>
  </si>
  <si>
    <t>R#8</t>
  </si>
  <si>
    <t>R3/8</t>
  </si>
  <si>
    <t>The Toufar and modified Toufar model</t>
  </si>
  <si>
    <t>Toufar et al. (1976) described a model to calculate the packing of binary mixtures for</t>
  </si>
  <si>
    <t>diameter ratios 0.22 &lt; d1/d2 &lt; 1.0. The concept of the model is that for diameter ratios &gt;</t>
  </si>
  <si>
    <t>0.22 the smaller particles with diameter d1 will actually be too large to be situated within</t>
  </si>
  <si>
    <t>the interstices between the larger particles with diameter d2. Therefore, the packing</t>
  </si>
  <si>
    <t>density should depend on the diameter ratio of the two particle classes, as expressed by</t>
  </si>
  <si>
    <t>number of interstices between the coarser particles that are free from smaller particles. It</t>
  </si>
  <si>
    <t>was assumed that each of the fine particles is placed between exactly four of the coarse</t>
  </si>
  <si>
    <t>3.8‐3.11 (Goltermann, et al., 1997).</t>
  </si>
  <si>
    <r>
      <t xml:space="preserve">particles, which led to the factor </t>
    </r>
    <r>
      <rPr>
        <i/>
        <sz val="11"/>
        <color rgb="FFFF0000"/>
        <rFont val="Calibri"/>
        <family val="2"/>
        <scheme val="minor"/>
      </rPr>
      <t>ks</t>
    </r>
    <r>
      <rPr>
        <sz val="11"/>
        <color theme="1"/>
        <rFont val="Calibri"/>
        <family val="2"/>
        <scheme val="minor"/>
      </rPr>
      <t xml:space="preserve"> . The total packing density is described by Equations</t>
    </r>
  </si>
  <si>
    <t>ks=1-((1+4x)/(1+x^4))</t>
  </si>
  <si>
    <t>x=r1 α2/(r2 α1 (1- α2))</t>
  </si>
  <si>
    <r>
      <t>αt=1/((r1/α1+r2/α2-r2(1/α2-1)</t>
    </r>
    <r>
      <rPr>
        <b/>
        <i/>
        <sz val="11"/>
        <color theme="1"/>
        <rFont val="Calibri"/>
        <family val="2"/>
        <scheme val="minor"/>
      </rPr>
      <t>kd ks)</t>
    </r>
  </si>
  <si>
    <r>
      <t xml:space="preserve">modefied  </t>
    </r>
    <r>
      <rPr>
        <b/>
        <i/>
        <sz val="11"/>
        <color theme="1"/>
        <rFont val="Calibri"/>
        <family val="2"/>
        <scheme val="minor"/>
      </rPr>
      <t>ks=0.3881 x/0.4753</t>
    </r>
  </si>
  <si>
    <r>
      <t xml:space="preserve">for x </t>
    </r>
    <r>
      <rPr>
        <b/>
        <sz val="11"/>
        <color theme="1"/>
        <rFont val="Calibri"/>
        <family val="2"/>
      </rPr>
      <t>˂</t>
    </r>
    <r>
      <rPr>
        <b/>
        <sz val="11"/>
        <color theme="1"/>
        <rFont val="Calibri"/>
        <family val="2"/>
        <scheme val="minor"/>
      </rPr>
      <t xml:space="preserve"> 0.4753</t>
    </r>
  </si>
  <si>
    <r>
      <t xml:space="preserve">for x </t>
    </r>
    <r>
      <rPr>
        <b/>
        <sz val="11"/>
        <color theme="1"/>
        <rFont val="Calibri"/>
        <family val="2"/>
      </rPr>
      <t>≥</t>
    </r>
    <r>
      <rPr>
        <b/>
        <sz val="11"/>
        <color theme="1"/>
        <rFont val="Calibri"/>
        <family val="2"/>
        <scheme val="minor"/>
      </rPr>
      <t xml:space="preserve"> 0.4753</t>
    </r>
  </si>
  <si>
    <r>
      <t>r</t>
    </r>
    <r>
      <rPr>
        <b/>
        <i/>
        <sz val="8"/>
        <color theme="1"/>
        <rFont val="Berlin Sans FB Demi"/>
        <family val="2"/>
      </rPr>
      <t>ij</t>
    </r>
    <r>
      <rPr>
        <b/>
        <i/>
        <sz val="11"/>
        <color theme="1"/>
        <rFont val="Berlin Sans FB Demi"/>
        <family val="2"/>
      </rPr>
      <t xml:space="preserve"> = r</t>
    </r>
    <r>
      <rPr>
        <b/>
        <i/>
        <sz val="8"/>
        <color theme="1"/>
        <rFont val="Berlin Sans FB Demi"/>
        <family val="2"/>
      </rPr>
      <t>i</t>
    </r>
    <r>
      <rPr>
        <b/>
        <i/>
        <sz val="12"/>
        <color theme="1"/>
        <rFont val="Berlin Sans FB Demi"/>
        <family val="2"/>
      </rPr>
      <t>-</t>
    </r>
    <r>
      <rPr>
        <b/>
        <i/>
        <sz val="8"/>
        <color theme="1"/>
        <rFont val="Berlin Sans FB Demi"/>
        <family val="2"/>
      </rPr>
      <t xml:space="preserve"> j</t>
    </r>
    <r>
      <rPr>
        <b/>
        <i/>
        <sz val="11"/>
        <color theme="1"/>
        <rFont val="Berlin Sans FB Demi"/>
        <family val="2"/>
      </rPr>
      <t xml:space="preserve"> + r</t>
    </r>
    <r>
      <rPr>
        <b/>
        <i/>
        <sz val="8"/>
        <color theme="1"/>
        <rFont val="Berlin Sans FB Demi"/>
        <family val="2"/>
      </rPr>
      <t>j</t>
    </r>
    <r>
      <rPr>
        <b/>
        <i/>
        <sz val="11"/>
        <color theme="1"/>
        <rFont val="Berlin Sans FB Demi"/>
        <family val="2"/>
      </rPr>
      <t>-</t>
    </r>
    <r>
      <rPr>
        <b/>
        <i/>
        <sz val="8"/>
        <color theme="1"/>
        <rFont val="Berlin Sans FB Demi"/>
        <family val="2"/>
      </rPr>
      <t>i</t>
    </r>
  </si>
  <si>
    <r>
      <t>r</t>
    </r>
    <r>
      <rPr>
        <b/>
        <i/>
        <sz val="8"/>
        <color theme="1"/>
        <rFont val="Berlin Sans FB Demi"/>
        <family val="2"/>
      </rPr>
      <t>i</t>
    </r>
    <r>
      <rPr>
        <b/>
        <i/>
        <sz val="11"/>
        <color theme="1"/>
        <rFont val="Berlin Sans FB Demi"/>
        <family val="2"/>
      </rPr>
      <t>-</t>
    </r>
    <r>
      <rPr>
        <b/>
        <i/>
        <sz val="8"/>
        <color theme="1"/>
        <rFont val="Berlin Sans FB Demi"/>
        <family val="2"/>
      </rPr>
      <t>j</t>
    </r>
    <r>
      <rPr>
        <b/>
        <i/>
        <sz val="11"/>
        <color theme="1"/>
        <rFont val="Berlin Sans FB Demi"/>
        <family val="2"/>
      </rPr>
      <t>=r</t>
    </r>
    <r>
      <rPr>
        <b/>
        <i/>
        <sz val="8"/>
        <color theme="1"/>
        <rFont val="Berlin Sans FB Demi"/>
        <family val="2"/>
      </rPr>
      <t>i</t>
    </r>
    <r>
      <rPr>
        <b/>
        <i/>
        <sz val="11"/>
        <color theme="1"/>
        <rFont val="Berlin Sans FB Demi"/>
        <family val="2"/>
      </rPr>
      <t>r</t>
    </r>
    <r>
      <rPr>
        <b/>
        <i/>
        <sz val="8"/>
        <color theme="1"/>
        <rFont val="Berlin Sans FB Demi"/>
        <family val="2"/>
      </rPr>
      <t>j/(1</t>
    </r>
    <r>
      <rPr>
        <b/>
        <i/>
        <sz val="11"/>
        <color theme="1"/>
        <rFont val="Berlin Sans FB Demi"/>
        <family val="2"/>
      </rPr>
      <t>-</t>
    </r>
    <r>
      <rPr>
        <b/>
        <i/>
        <sz val="12"/>
        <color theme="1"/>
        <rFont val="Berlin Sans FB Demi"/>
        <family val="2"/>
      </rPr>
      <t>r</t>
    </r>
    <r>
      <rPr>
        <b/>
        <i/>
        <sz val="8"/>
        <color theme="1"/>
        <rFont val="Berlin Sans FB Demi"/>
        <family val="2"/>
      </rPr>
      <t>i)</t>
    </r>
  </si>
  <si>
    <t>α  (VP/V)</t>
  </si>
  <si>
    <t>αi      packing density of dominant size class i [‐]</t>
  </si>
  <si>
    <t>αj      packing density of size class j [‐]</t>
  </si>
  <si>
    <t>αij     assisting variable for packing density in the Toufar model [‐]</t>
  </si>
  <si>
    <t>αt      calculated packing density of a mixture [‐]t calculated packing density of a mixture [‐]</t>
  </si>
  <si>
    <t>ϕi      partial volume: the volume occupied by size class i in a unit volume [‐]</t>
  </si>
  <si>
    <t>ϕj      partial volume: the volume occupied by size class j in a unit volume [‐]</t>
  </si>
  <si>
    <t>d        particle diameter [m]</t>
  </si>
  <si>
    <t>model, LPDM, CPM, Linear‐Mixture Packing Model and CIPM, for the</t>
  </si>
  <si>
    <t>smallest diameter in the Toufar model and the Dewar model) [m]</t>
  </si>
  <si>
    <t>di      diameter of dominant size class i [m]</t>
  </si>
  <si>
    <t>dj diameter of particle classj ( j=1  for the largest diameter in the Furnas</t>
  </si>
  <si>
    <t>kd      diameter ratio of two size classes in the Toufar model [‐]</t>
  </si>
  <si>
    <t>ks       factor in the Toufar model, section 3.3 [‐]</t>
  </si>
  <si>
    <t>n         number of size classes in a mixture</t>
  </si>
  <si>
    <t>ri         volume fraction of size class i , by definition</t>
  </si>
  <si>
    <r>
      <t>ri=</t>
    </r>
    <r>
      <rPr>
        <sz val="11"/>
        <color theme="1"/>
        <rFont val="Calibri"/>
        <family val="2"/>
      </rPr>
      <t>ϕi/</t>
    </r>
  </si>
  <si>
    <t>and</t>
  </si>
  <si>
    <t>ri- j      assisting variable Toufar model [‐]</t>
  </si>
  <si>
    <t>rij        assisting variable Toufar model [‐]</t>
  </si>
  <si>
    <t>rj          volume fraction of size class j [‐]</t>
  </si>
  <si>
    <t>rj-i        assisting variable Toufar model [‐]</t>
  </si>
  <si>
    <t>x           assisting variable in the Toufar model [‐]</t>
  </si>
  <si>
    <t>ri</t>
  </si>
  <si>
    <t>p% by vol</t>
  </si>
  <si>
    <t>sieve #</t>
  </si>
  <si>
    <t>d(mm)</t>
  </si>
  <si>
    <t>agg</t>
  </si>
  <si>
    <t>rj</t>
  </si>
  <si>
    <t>ri-j</t>
  </si>
  <si>
    <t>rj-i</t>
  </si>
  <si>
    <t>rij</t>
  </si>
  <si>
    <t>kij</t>
  </si>
  <si>
    <t>ks ij</t>
  </si>
  <si>
    <r>
      <t>the factor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k</t>
    </r>
    <r>
      <rPr>
        <i/>
        <sz val="11"/>
        <color rgb="FFFF0000"/>
        <rFont val="Calibri"/>
        <family val="2"/>
      </rPr>
      <t>d</t>
    </r>
    <r>
      <rPr>
        <sz val="11"/>
        <color theme="1"/>
        <rFont val="Calibri"/>
        <family val="2"/>
        <scheme val="minor"/>
      </rPr>
      <t xml:space="preserve"> . Furthermore, Toufar et al. considered the statistical probability of the</t>
    </r>
  </si>
  <si>
    <t>kd</t>
  </si>
  <si>
    <t>ks</t>
  </si>
  <si>
    <t>r1/r2</t>
  </si>
  <si>
    <t>1+4x</t>
  </si>
  <si>
    <t>(1+x)^4</t>
  </si>
  <si>
    <t>r1/α1</t>
  </si>
  <si>
    <t>r2/α2</t>
  </si>
  <si>
    <t>()</t>
  </si>
  <si>
    <t>αt</t>
  </si>
  <si>
    <t>kd=(d2-d1)/(d1+d2)</t>
  </si>
  <si>
    <t>new d(mm)</t>
  </si>
  <si>
    <t>Original Proportions (by wt)</t>
  </si>
  <si>
    <t>n</t>
  </si>
  <si>
    <t>i</t>
  </si>
  <si>
    <t>i=1</t>
  </si>
  <si>
    <t>αt    Min=</t>
  </si>
  <si>
    <t>αi/(1-(1-αi)</t>
  </si>
  <si>
    <t>∑</t>
  </si>
  <si>
    <t>)</t>
  </si>
  <si>
    <t>a</t>
  </si>
  <si>
    <t>r</t>
  </si>
  <si>
    <t>#57</t>
  </si>
  <si>
    <t>j</t>
  </si>
  <si>
    <t>wt</t>
  </si>
  <si>
    <t>volume</t>
  </si>
  <si>
    <t>vpoid ratio</t>
  </si>
  <si>
    <t>void ratio</t>
  </si>
  <si>
    <t>Agg</t>
  </si>
  <si>
    <t>g</t>
  </si>
  <si>
    <t>f</t>
  </si>
  <si>
    <t xml:space="preserve">f(z) = 0.7(1- z) + 0.3(1- z)^12 </t>
  </si>
  <si>
    <t>• g(z) = (1 - z) ^1.3</t>
  </si>
  <si>
    <t>z for f(z)</t>
  </si>
  <si>
    <t>z for g(z)</t>
  </si>
  <si>
    <t>(value with wall and loseness effect)</t>
  </si>
  <si>
    <r>
      <t xml:space="preserve">(value </t>
    </r>
    <r>
      <rPr>
        <u/>
        <sz val="11"/>
        <color theme="1"/>
        <rFont val="Calibri"/>
        <family val="2"/>
        <scheme val="minor"/>
      </rPr>
      <t>without</t>
    </r>
    <r>
      <rPr>
        <sz val="11"/>
        <color theme="1"/>
        <rFont val="Calibri"/>
        <family val="2"/>
        <scheme val="minor"/>
      </rPr>
      <t xml:space="preserve"> wall and loseness effect)</t>
    </r>
  </si>
  <si>
    <t>Packing Dinsity according to De Larrard=</t>
  </si>
  <si>
    <t>equation of wall &amp; loseness effects</t>
  </si>
  <si>
    <t>loseness equation</t>
  </si>
  <si>
    <t>wall effect equation</t>
  </si>
  <si>
    <r>
      <t xml:space="preserve"> </t>
    </r>
    <r>
      <rPr>
        <b/>
        <sz val="16"/>
        <color rgb="FFFF0000"/>
        <rFont val="Calibri"/>
        <family val="2"/>
        <scheme val="minor"/>
      </rPr>
      <t xml:space="preserve">LPDM  </t>
    </r>
    <r>
      <rPr>
        <b/>
        <sz val="16"/>
        <rFont val="Calibri"/>
        <family val="2"/>
        <scheme val="minor"/>
      </rPr>
      <t xml:space="preserve"> Linear Packing Density Model  </t>
    </r>
    <r>
      <rPr>
        <b/>
        <i/>
        <u/>
        <sz val="16"/>
        <rFont val="Calibri"/>
        <family val="2"/>
        <scheme val="minor"/>
      </rPr>
      <t>De Larrard</t>
    </r>
  </si>
  <si>
    <t>(3 Aggregate Blends)</t>
  </si>
  <si>
    <t>(2 Aggregate Blends)</t>
  </si>
  <si>
    <t>Refrences:</t>
  </si>
  <si>
    <t>2-Sonja A.A.M. Fennis, Joost C. Walraven, Joop A. den Uijl.Delft University of Technology, the Netherlands.(The use of particle packing models to</t>
  </si>
  <si>
    <t>design ecological concrete)</t>
  </si>
  <si>
    <t>1-F. de Larrard and T. Sedran. September 23, 1993.( OPTIMIZATION OF ULTRA-HIGH-PERFORNCE CONCRETE BY THE USE OF A PACKING MODEL)</t>
  </si>
  <si>
    <t>3-Sebastiana Antonia Adriana Maria FENNIS‐HUIJBEN.17 januari 2011. (Design of Ecological Concrete by Particle Packing Optimization)</t>
  </si>
  <si>
    <t>Richard spur 3/8</t>
  </si>
  <si>
    <t>Specific Gravity</t>
  </si>
  <si>
    <t>Cement</t>
  </si>
  <si>
    <t>Water</t>
  </si>
  <si>
    <t>Fine</t>
  </si>
  <si>
    <t>Air</t>
  </si>
  <si>
    <t>Aggregate Gradation</t>
  </si>
  <si>
    <t>Combined   % Passing</t>
  </si>
  <si>
    <t>Material</t>
  </si>
  <si>
    <t>Batch Weights &amp; Material Properties</t>
  </si>
  <si>
    <t>N.Troy</t>
  </si>
  <si>
    <t>Dover</t>
  </si>
  <si>
    <t>Lafarge</t>
  </si>
  <si>
    <t>Red Rock</t>
  </si>
  <si>
    <t>Maximum Boundary</t>
  </si>
  <si>
    <t>Minimum Boundary</t>
  </si>
  <si>
    <t>Source of Material</t>
  </si>
  <si>
    <t>Weight (lbs/cy)</t>
  </si>
  <si>
    <t>Coarse I</t>
  </si>
  <si>
    <t>Coarse III</t>
  </si>
  <si>
    <t>Coarse II</t>
  </si>
  <si>
    <t>Volume (ft³)</t>
  </si>
  <si>
    <t xml:space="preserve">Combined   % Retained </t>
  </si>
  <si>
    <t>Oklahoma Department of Transportation Concrete Pavement Mixture Design</t>
  </si>
  <si>
    <t>lbs/cy</t>
  </si>
  <si>
    <t>lbs/cf</t>
  </si>
  <si>
    <t>Admixtures</t>
  </si>
  <si>
    <t>Name</t>
  </si>
  <si>
    <t>Water reducer</t>
  </si>
  <si>
    <t>Air entrainer</t>
  </si>
  <si>
    <t>accelerator</t>
  </si>
  <si>
    <t>set control</t>
  </si>
  <si>
    <t>w/cm</t>
  </si>
  <si>
    <t>total cementitious</t>
  </si>
  <si>
    <t>sack content</t>
  </si>
  <si>
    <t>lbs</t>
  </si>
  <si>
    <t>sacks</t>
  </si>
  <si>
    <t>Finess Modulus =</t>
  </si>
  <si>
    <t xml:space="preserve">SCM replacement </t>
  </si>
  <si>
    <t>Dosage (oz/cwt)</t>
  </si>
  <si>
    <t>Admixture Type</t>
  </si>
  <si>
    <t>cf</t>
  </si>
  <si>
    <t>Paste Properties</t>
  </si>
  <si>
    <t>Amounts</t>
  </si>
  <si>
    <t xml:space="preserve">Paste Properties </t>
  </si>
  <si>
    <t>Sieve wt</t>
  </si>
  <si>
    <t>Material &amp; Sieve wt</t>
  </si>
  <si>
    <t>Individual % Retained</t>
  </si>
  <si>
    <t>Percent Passing</t>
  </si>
  <si>
    <t>Total=</t>
  </si>
  <si>
    <t>Fine Sand % (#30-200)  =</t>
  </si>
  <si>
    <t>Oklahoma Department of Transportation Concrete Pavement Sieve Analysis</t>
  </si>
  <si>
    <t>Percent Retained</t>
  </si>
  <si>
    <t xml:space="preserve">Other Cementitious </t>
  </si>
  <si>
    <t>This allowable range amount is between 24-34%</t>
  </si>
  <si>
    <t>This range amount is a minimum of 15%</t>
  </si>
  <si>
    <t>Coarse Sand % (#8-30) 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</si>
</sst>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0000000000000%"/>
    <numFmt numFmtId="166" formatCode="0.000"/>
    <numFmt numFmtId="167" formatCode="0.0000"/>
    <numFmt numFmtId="168" formatCode="0.0"/>
  </numFmts>
  <fonts count="4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Verdena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</font>
    <font>
      <sz val="11"/>
      <color theme="1"/>
      <name val="Californian FB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theme="1"/>
      <name val="Berlin Sans FB Demi"/>
      <family val="2"/>
    </font>
    <font>
      <b/>
      <i/>
      <sz val="8"/>
      <color theme="1"/>
      <name val="Berlin Sans FB Demi"/>
      <family val="2"/>
    </font>
    <font>
      <b/>
      <i/>
      <sz val="12"/>
      <color theme="1"/>
      <name val="Berlin Sans FB Demi"/>
      <family val="2"/>
    </font>
    <font>
      <b/>
      <sz val="11"/>
      <color theme="1"/>
      <name val="Berlin Sans FB Demi"/>
      <family val="2"/>
    </font>
    <font>
      <sz val="10"/>
      <color rgb="FFFF0000"/>
      <name val="Verdana"/>
      <family val="2"/>
    </font>
    <font>
      <b/>
      <i/>
      <u/>
      <sz val="16"/>
      <color theme="1"/>
      <name val="Calibri"/>
      <family val="2"/>
      <scheme val="minor"/>
    </font>
    <font>
      <sz val="11"/>
      <color theme="1"/>
      <name val="Cambria Math"/>
      <family val="1"/>
    </font>
    <font>
      <sz val="10"/>
      <name val="Calibri"/>
      <family val="2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i/>
      <u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u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8" tint="-0.249977111117893"/>
      </left>
      <right/>
      <top style="medium">
        <color theme="8" tint="-0.249977111117893"/>
      </top>
      <bottom/>
      <diagonal/>
    </border>
    <border>
      <left/>
      <right/>
      <top style="medium">
        <color theme="8" tint="-0.249977111117893"/>
      </top>
      <bottom/>
      <diagonal/>
    </border>
    <border>
      <left/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/>
      <top/>
      <bottom style="medium">
        <color theme="8" tint="-0.249977111117893"/>
      </bottom>
      <diagonal/>
    </border>
    <border>
      <left/>
      <right/>
      <top/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 style="medium">
        <color theme="8" tint="-0.249977111117893"/>
      </bottom>
      <diagonal/>
    </border>
    <border>
      <left/>
      <right style="mediumDashDotDot">
        <color indexed="64"/>
      </right>
      <top style="medium">
        <color theme="8" tint="-0.249977111117893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medium">
        <color theme="8" tint="-0.249977111117893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06">
    <xf numFmtId="0" fontId="0" fillId="0" borderId="0" xfId="0"/>
    <xf numFmtId="0" fontId="2" fillId="0" borderId="0" xfId="1" applyFill="1" applyBorder="1"/>
    <xf numFmtId="0" fontId="2" fillId="0" borderId="0" xfId="1" applyFill="1" applyBorder="1" applyAlignment="1">
      <alignment horizontal="right"/>
    </xf>
    <xf numFmtId="0" fontId="3" fillId="0" borderId="0" xfId="1" applyFont="1" applyFill="1" applyBorder="1" applyAlignment="1">
      <alignment horizontal="center" wrapText="1"/>
    </xf>
    <xf numFmtId="0" fontId="2" fillId="0" borderId="0" xfId="1"/>
    <xf numFmtId="0" fontId="3" fillId="0" borderId="2" xfId="1" applyFont="1" applyBorder="1" applyAlignment="1">
      <alignment horizontal="center" wrapText="1"/>
    </xf>
    <xf numFmtId="0" fontId="3" fillId="0" borderId="2" xfId="1" applyFont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wrapText="1"/>
    </xf>
    <xf numFmtId="0" fontId="0" fillId="0" borderId="4" xfId="0" applyBorder="1"/>
    <xf numFmtId="0" fontId="0" fillId="0" borderId="2" xfId="0" applyBorder="1"/>
    <xf numFmtId="0" fontId="2" fillId="3" borderId="3" xfId="1" applyFont="1" applyFill="1" applyBorder="1" applyAlignment="1">
      <alignment horizontal="center" vertical="center" wrapText="1"/>
    </xf>
    <xf numFmtId="0" fontId="0" fillId="0" borderId="0" xfId="0" applyBorder="1"/>
    <xf numFmtId="0" fontId="2" fillId="3" borderId="0" xfId="1" applyFont="1" applyFill="1" applyBorder="1" applyAlignment="1">
      <alignment horizontal="center" vertical="center" wrapText="1"/>
    </xf>
    <xf numFmtId="0" fontId="2" fillId="0" borderId="0" xfId="1" applyBorder="1"/>
    <xf numFmtId="0" fontId="1" fillId="0" borderId="0" xfId="0" applyFont="1"/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left" indent="3"/>
    </xf>
    <xf numFmtId="0" fontId="0" fillId="0" borderId="1" xfId="0" applyBorder="1" applyAlignment="1">
      <alignment horizontal="left" indent="3"/>
    </xf>
    <xf numFmtId="0" fontId="0" fillId="0" borderId="9" xfId="0" applyBorder="1" applyAlignment="1">
      <alignment horizontal="left" indent="3"/>
    </xf>
    <xf numFmtId="0" fontId="0" fillId="0" borderId="6" xfId="0" applyBorder="1"/>
    <xf numFmtId="0" fontId="0" fillId="0" borderId="6" xfId="0" applyBorder="1" applyAlignment="1">
      <alignment horizontal="left" indent="4"/>
    </xf>
    <xf numFmtId="0" fontId="0" fillId="0" borderId="4" xfId="0" applyBorder="1" applyAlignment="1">
      <alignment horizontal="left" indent="6"/>
    </xf>
    <xf numFmtId="0" fontId="0" fillId="0" borderId="6" xfId="0" applyBorder="1" applyAlignment="1">
      <alignment horizontal="left" indent="6"/>
    </xf>
    <xf numFmtId="0" fontId="2" fillId="0" borderId="2" xfId="1" applyBorder="1"/>
    <xf numFmtId="0" fontId="2" fillId="0" borderId="2" xfId="1" applyFill="1" applyBorder="1"/>
    <xf numFmtId="0" fontId="2" fillId="0" borderId="2" xfId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0" xfId="0" applyBorder="1"/>
    <xf numFmtId="0" fontId="0" fillId="0" borderId="3" xfId="0" applyBorder="1"/>
    <xf numFmtId="0" fontId="0" fillId="0" borderId="5" xfId="0" applyBorder="1"/>
    <xf numFmtId="0" fontId="0" fillId="0" borderId="3" xfId="0" applyBorder="1" applyAlignment="1"/>
    <xf numFmtId="0" fontId="2" fillId="3" borderId="5" xfId="1" applyFont="1" applyFill="1" applyBorder="1" applyAlignment="1">
      <alignment horizontal="center"/>
    </xf>
    <xf numFmtId="0" fontId="0" fillId="0" borderId="4" xfId="0" applyBorder="1" applyAlignment="1">
      <alignment horizontal="left" indent="8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/>
    <xf numFmtId="0" fontId="0" fillId="0" borderId="2" xfId="0" applyBorder="1" applyAlignment="1">
      <alignment horizontal="left" inden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left" indent="3"/>
    </xf>
    <xf numFmtId="0" fontId="0" fillId="0" borderId="6" xfId="0" applyBorder="1" applyAlignment="1">
      <alignment horizontal="left" indent="3"/>
    </xf>
    <xf numFmtId="0" fontId="0" fillId="0" borderId="5" xfId="0" applyBorder="1" applyAlignment="1">
      <alignment horizontal="left" indent="4"/>
    </xf>
    <xf numFmtId="0" fontId="0" fillId="0" borderId="5" xfId="0" applyBorder="1" applyAlignment="1">
      <alignment horizontal="left" indent="6"/>
    </xf>
    <xf numFmtId="0" fontId="0" fillId="0" borderId="4" xfId="0" applyBorder="1" applyAlignment="1">
      <alignment horizontal="left" indent="7"/>
    </xf>
    <xf numFmtId="0" fontId="0" fillId="0" borderId="5" xfId="0" applyBorder="1" applyAlignment="1">
      <alignment horizontal="left" indent="7"/>
    </xf>
    <xf numFmtId="0" fontId="0" fillId="0" borderId="6" xfId="0" applyBorder="1" applyAlignment="1">
      <alignment horizontal="left" indent="7"/>
    </xf>
    <xf numFmtId="0" fontId="0" fillId="0" borderId="5" xfId="0" applyBorder="1" applyAlignment="1">
      <alignment horizontal="left" indent="8"/>
    </xf>
    <xf numFmtId="0" fontId="0" fillId="0" borderId="6" xfId="0" applyBorder="1" applyAlignment="1">
      <alignment horizontal="left" indent="8"/>
    </xf>
    <xf numFmtId="0" fontId="0" fillId="0" borderId="5" xfId="0" applyBorder="1" applyAlignment="1">
      <alignment horizontal="left" indent="9"/>
    </xf>
    <xf numFmtId="0" fontId="0" fillId="0" borderId="6" xfId="0" applyBorder="1" applyAlignment="1">
      <alignment horizontal="left" indent="9"/>
    </xf>
    <xf numFmtId="0" fontId="0" fillId="0" borderId="8" xfId="0" applyBorder="1" applyAlignment="1">
      <alignment horizontal="left" indent="6"/>
    </xf>
    <xf numFmtId="0" fontId="0" fillId="0" borderId="1" xfId="0" applyBorder="1" applyAlignment="1">
      <alignment horizontal="left" indent="6"/>
    </xf>
    <xf numFmtId="0" fontId="0" fillId="0" borderId="9" xfId="0" applyBorder="1" applyAlignment="1">
      <alignment horizontal="left" indent="6"/>
    </xf>
    <xf numFmtId="0" fontId="0" fillId="0" borderId="11" xfId="0" applyBorder="1"/>
    <xf numFmtId="0" fontId="0" fillId="0" borderId="0" xfId="0" applyFill="1" applyBorder="1"/>
    <xf numFmtId="0" fontId="0" fillId="0" borderId="2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9" fontId="0" fillId="0" borderId="0" xfId="3" applyFont="1"/>
    <xf numFmtId="164" fontId="0" fillId="0" borderId="9" xfId="3" applyNumberFormat="1" applyFont="1" applyBorder="1" applyAlignment="1">
      <alignment horizontal="center"/>
    </xf>
    <xf numFmtId="9" fontId="0" fillId="0" borderId="12" xfId="3" applyFont="1" applyBorder="1" applyAlignment="1">
      <alignment horizontal="center"/>
    </xf>
    <xf numFmtId="9" fontId="0" fillId="0" borderId="13" xfId="3" applyFont="1" applyBorder="1" applyAlignment="1">
      <alignment horizontal="center"/>
    </xf>
    <xf numFmtId="0" fontId="0" fillId="0" borderId="9" xfId="0" applyBorder="1" applyAlignment="1">
      <alignment horizontal="center"/>
    </xf>
    <xf numFmtId="9" fontId="0" fillId="0" borderId="11" xfId="3" applyFont="1" applyBorder="1" applyAlignment="1">
      <alignment horizontal="center"/>
    </xf>
    <xf numFmtId="9" fontId="0" fillId="0" borderId="14" xfId="3" applyFont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3" applyFont="1" applyBorder="1" applyAlignment="1">
      <alignment horizontal="center"/>
    </xf>
    <xf numFmtId="9" fontId="0" fillId="0" borderId="7" xfId="3" applyFont="1" applyBorder="1" applyAlignment="1">
      <alignment horizontal="center"/>
    </xf>
    <xf numFmtId="0" fontId="0" fillId="0" borderId="4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10" fontId="0" fillId="0" borderId="7" xfId="3" applyNumberFormat="1" applyFont="1" applyBorder="1" applyAlignment="1">
      <alignment horizontal="center"/>
    </xf>
    <xf numFmtId="10" fontId="0" fillId="0" borderId="14" xfId="3" applyNumberFormat="1" applyFon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10" fontId="0" fillId="0" borderId="7" xfId="0" applyNumberFormat="1" applyFill="1" applyBorder="1" applyAlignment="1">
      <alignment horizontal="center"/>
    </xf>
    <xf numFmtId="10" fontId="0" fillId="0" borderId="14" xfId="3" applyNumberFormat="1" applyFont="1" applyFill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10" fontId="0" fillId="0" borderId="13" xfId="3" applyNumberFormat="1" applyFont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0" fillId="0" borderId="0" xfId="3" applyNumberFormat="1" applyFont="1" applyFill="1" applyBorder="1" applyAlignment="1">
      <alignment horizontal="center"/>
    </xf>
    <xf numFmtId="9" fontId="0" fillId="0" borderId="0" xfId="3" applyFont="1" applyBorder="1" applyAlignment="1">
      <alignment horizontal="center"/>
    </xf>
    <xf numFmtId="9" fontId="0" fillId="0" borderId="0" xfId="3" applyFont="1" applyBorder="1"/>
    <xf numFmtId="9" fontId="0" fillId="0" borderId="8" xfId="3" applyFont="1" applyBorder="1" applyAlignment="1">
      <alignment horizontal="center"/>
    </xf>
    <xf numFmtId="9" fontId="0" fillId="0" borderId="9" xfId="3" applyFont="1" applyBorder="1" applyAlignment="1">
      <alignment horizontal="center"/>
    </xf>
    <xf numFmtId="9" fontId="0" fillId="0" borderId="2" xfId="3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3" xfId="3" applyFont="1" applyBorder="1" applyAlignment="1">
      <alignment horizontal="center"/>
    </xf>
    <xf numFmtId="0" fontId="0" fillId="0" borderId="0" xfId="0" applyFont="1" applyAlignment="1">
      <alignment horizontal="center"/>
    </xf>
    <xf numFmtId="9" fontId="0" fillId="0" borderId="9" xfId="3" applyFont="1" applyBorder="1"/>
    <xf numFmtId="9" fontId="0" fillId="0" borderId="14" xfId="3" applyFont="1" applyBorder="1"/>
    <xf numFmtId="0" fontId="0" fillId="0" borderId="12" xfId="0" applyBorder="1"/>
    <xf numFmtId="9" fontId="0" fillId="0" borderId="13" xfId="3" applyFont="1" applyBorder="1"/>
    <xf numFmtId="9" fontId="0" fillId="2" borderId="7" xfId="3" applyFont="1" applyFill="1" applyBorder="1" applyAlignment="1">
      <alignment horizontal="center"/>
    </xf>
    <xf numFmtId="9" fontId="0" fillId="0" borderId="0" xfId="3" applyFont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4" borderId="7" xfId="3" applyFont="1" applyFill="1" applyBorder="1" applyAlignment="1">
      <alignment horizontal="center"/>
    </xf>
    <xf numFmtId="0" fontId="0" fillId="0" borderId="2" xfId="3" applyNumberFormat="1" applyFont="1" applyBorder="1" applyAlignment="1">
      <alignment horizontal="center"/>
    </xf>
    <xf numFmtId="0" fontId="2" fillId="5" borderId="10" xfId="1" applyFill="1" applyBorder="1"/>
    <xf numFmtId="0" fontId="2" fillId="5" borderId="7" xfId="1" applyFill="1" applyBorder="1"/>
    <xf numFmtId="0" fontId="0" fillId="5" borderId="7" xfId="0" applyFill="1" applyBorder="1"/>
    <xf numFmtId="0" fontId="2" fillId="5" borderId="7" xfId="1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0" fillId="5" borderId="10" xfId="0" applyFill="1" applyBorder="1" applyAlignment="1">
      <alignment horizontal="center"/>
    </xf>
    <xf numFmtId="0" fontId="0" fillId="5" borderId="0" xfId="0" applyFill="1" applyAlignment="1">
      <alignment horizontal="center"/>
    </xf>
    <xf numFmtId="2" fontId="0" fillId="5" borderId="10" xfId="0" applyNumberForma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2" fontId="0" fillId="0" borderId="2" xfId="3" applyNumberFormat="1" applyFont="1" applyBorder="1" applyAlignment="1">
      <alignment horizontal="center"/>
    </xf>
    <xf numFmtId="9" fontId="0" fillId="0" borderId="2" xfId="0" applyNumberFormat="1" applyBorder="1"/>
    <xf numFmtId="2" fontId="0" fillId="0" borderId="2" xfId="0" applyNumberFormat="1" applyBorder="1"/>
    <xf numFmtId="9" fontId="0" fillId="4" borderId="0" xfId="3" applyFont="1" applyFill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left" indent="9"/>
    </xf>
    <xf numFmtId="0" fontId="2" fillId="3" borderId="3" xfId="1" applyFont="1" applyFill="1" applyBorder="1" applyAlignment="1">
      <alignment horizontal="center" wrapText="1"/>
    </xf>
    <xf numFmtId="9" fontId="0" fillId="0" borderId="2" xfId="3" applyFont="1" applyBorder="1"/>
    <xf numFmtId="0" fontId="0" fillId="0" borderId="0" xfId="0" applyFill="1"/>
    <xf numFmtId="0" fontId="2" fillId="0" borderId="0" xfId="1" applyFont="1" applyFill="1" applyBorder="1" applyAlignment="1">
      <alignment horizontal="center"/>
    </xf>
    <xf numFmtId="9" fontId="0" fillId="4" borderId="3" xfId="3" applyFont="1" applyFill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9" fontId="0" fillId="0" borderId="0" xfId="0" applyNumberFormat="1" applyBorder="1" applyAlignment="1">
      <alignment horizontal="center"/>
    </xf>
    <xf numFmtId="0" fontId="0" fillId="0" borderId="15" xfId="0" applyBorder="1"/>
    <xf numFmtId="0" fontId="0" fillId="0" borderId="14" xfId="0" applyBorder="1"/>
    <xf numFmtId="0" fontId="0" fillId="0" borderId="13" xfId="0" applyBorder="1"/>
    <xf numFmtId="0" fontId="0" fillId="0" borderId="7" xfId="0" applyBorder="1"/>
    <xf numFmtId="9" fontId="0" fillId="0" borderId="0" xfId="0" applyNumberFormat="1" applyFill="1" applyBorder="1"/>
    <xf numFmtId="0" fontId="0" fillId="5" borderId="0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10" fontId="0" fillId="0" borderId="10" xfId="3" applyNumberFormat="1" applyFont="1" applyBorder="1" applyAlignment="1">
      <alignment horizontal="center"/>
    </xf>
    <xf numFmtId="10" fontId="0" fillId="2" borderId="7" xfId="3" applyNumberFormat="1" applyFont="1" applyFill="1" applyBorder="1" applyAlignment="1">
      <alignment horizontal="center"/>
    </xf>
    <xf numFmtId="10" fontId="0" fillId="7" borderId="7" xfId="3" applyNumberFormat="1" applyFont="1" applyFill="1" applyBorder="1" applyAlignment="1">
      <alignment horizontal="center"/>
    </xf>
    <xf numFmtId="10" fontId="0" fillId="0" borderId="0" xfId="0" applyNumberFormat="1" applyBorder="1"/>
    <xf numFmtId="10" fontId="0" fillId="0" borderId="2" xfId="3" applyNumberFormat="1" applyFont="1" applyBorder="1" applyAlignment="1">
      <alignment horizontal="center"/>
    </xf>
    <xf numFmtId="0" fontId="0" fillId="0" borderId="0" xfId="0" applyFill="1" applyBorder="1" applyAlignment="1"/>
    <xf numFmtId="10" fontId="0" fillId="0" borderId="0" xfId="0" applyNumberFormat="1" applyFill="1" applyBorder="1" applyAlignment="1"/>
    <xf numFmtId="0" fontId="0" fillId="0" borderId="4" xfId="0" applyBorder="1" applyAlignment="1">
      <alignment horizontal="left" indent="9"/>
    </xf>
    <xf numFmtId="0" fontId="1" fillId="0" borderId="2" xfId="0" applyFont="1" applyBorder="1"/>
    <xf numFmtId="0" fontId="2" fillId="0" borderId="2" xfId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9" fontId="0" fillId="0" borderId="0" xfId="3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8" borderId="4" xfId="0" applyFill="1" applyBorder="1"/>
    <xf numFmtId="0" fontId="1" fillId="0" borderId="4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0" fontId="0" fillId="0" borderId="0" xfId="3" applyNumberFormat="1" applyFont="1" applyAlignment="1">
      <alignment horizontal="center"/>
    </xf>
    <xf numFmtId="10" fontId="0" fillId="0" borderId="2" xfId="3" applyNumberFormat="1" applyFont="1" applyBorder="1"/>
    <xf numFmtId="10" fontId="0" fillId="0" borderId="2" xfId="3" applyNumberFormat="1" applyFont="1" applyFill="1" applyBorder="1"/>
    <xf numFmtId="0" fontId="0" fillId="0" borderId="8" xfId="0" applyFill="1" applyBorder="1"/>
    <xf numFmtId="0" fontId="7" fillId="0" borderId="2" xfId="0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10" fontId="0" fillId="0" borderId="3" xfId="3" applyNumberFormat="1" applyFont="1" applyBorder="1" applyAlignment="1">
      <alignment horizontal="center"/>
    </xf>
    <xf numFmtId="0" fontId="7" fillId="0" borderId="2" xfId="0" applyFont="1" applyBorder="1"/>
    <xf numFmtId="10" fontId="0" fillId="0" borderId="0" xfId="0" applyNumberFormat="1"/>
    <xf numFmtId="10" fontId="0" fillId="0" borderId="0" xfId="0" applyNumberFormat="1" applyFill="1" applyBorder="1"/>
    <xf numFmtId="0" fontId="2" fillId="0" borderId="0" xfId="1" applyFill="1" applyBorder="1" applyAlignment="1">
      <alignment horizontal="center"/>
    </xf>
    <xf numFmtId="0" fontId="6" fillId="0" borderId="0" xfId="0" applyFont="1" applyFill="1" applyBorder="1"/>
    <xf numFmtId="9" fontId="0" fillId="0" borderId="0" xfId="3" applyFont="1" applyFill="1" applyBorder="1"/>
    <xf numFmtId="0" fontId="0" fillId="0" borderId="0" xfId="0" applyFill="1" applyBorder="1" applyAlignment="1">
      <alignment horizontal="right"/>
    </xf>
    <xf numFmtId="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 indent="8"/>
    </xf>
    <xf numFmtId="0" fontId="0" fillId="0" borderId="0" xfId="0" applyFill="1" applyBorder="1" applyAlignment="1">
      <alignment horizontal="left" indent="4"/>
    </xf>
    <xf numFmtId="0" fontId="2" fillId="0" borderId="0" xfId="1" applyFont="1" applyFill="1" applyBorder="1" applyAlignment="1">
      <alignment horizontal="center" wrapText="1"/>
    </xf>
    <xf numFmtId="0" fontId="0" fillId="0" borderId="0" xfId="0" applyFill="1" applyBorder="1" applyAlignment="1">
      <alignment horizontal="left" indent="7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0" fillId="11" borderId="10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2" fillId="11" borderId="4" xfId="0" applyFont="1" applyFill="1" applyBorder="1" applyAlignment="1">
      <alignment horizontal="left" indent="5"/>
    </xf>
    <xf numFmtId="0" fontId="0" fillId="11" borderId="5" xfId="0" applyFill="1" applyBorder="1" applyAlignment="1">
      <alignment horizontal="left" indent="1"/>
    </xf>
    <xf numFmtId="0" fontId="0" fillId="11" borderId="6" xfId="0" applyFill="1" applyBorder="1" applyAlignment="1">
      <alignment horizontal="left"/>
    </xf>
    <xf numFmtId="0" fontId="2" fillId="11" borderId="9" xfId="0" applyFont="1" applyFill="1" applyBorder="1" applyAlignment="1">
      <alignment horizontal="center"/>
    </xf>
    <xf numFmtId="0" fontId="0" fillId="11" borderId="10" xfId="0" applyFill="1" applyBorder="1"/>
    <xf numFmtId="0" fontId="0" fillId="11" borderId="2" xfId="0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2" fontId="2" fillId="9" borderId="3" xfId="0" applyNumberFormat="1" applyFont="1" applyFill="1" applyBorder="1" applyAlignment="1">
      <alignment horizontal="center"/>
    </xf>
    <xf numFmtId="2" fontId="0" fillId="9" borderId="3" xfId="0" applyNumberForma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2" fontId="2" fillId="9" borderId="2" xfId="0" applyNumberFormat="1" applyFont="1" applyFill="1" applyBorder="1" applyAlignment="1">
      <alignment horizontal="center"/>
    </xf>
    <xf numFmtId="2" fontId="0" fillId="9" borderId="2" xfId="0" applyNumberForma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2" fontId="2" fillId="9" borderId="7" xfId="0" applyNumberFormat="1" applyFont="1" applyFill="1" applyBorder="1" applyAlignment="1">
      <alignment horizontal="center"/>
    </xf>
    <xf numFmtId="2" fontId="2" fillId="9" borderId="0" xfId="0" applyNumberFormat="1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2" fontId="2" fillId="7" borderId="2" xfId="0" applyNumberFormat="1" applyFont="1" applyFill="1" applyBorder="1" applyAlignment="1">
      <alignment horizontal="center"/>
    </xf>
    <xf numFmtId="2" fontId="0" fillId="7" borderId="2" xfId="0" applyNumberForma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2" fontId="2" fillId="12" borderId="2" xfId="0" applyNumberFormat="1" applyFont="1" applyFill="1" applyBorder="1" applyAlignment="1">
      <alignment horizontal="center"/>
    </xf>
    <xf numFmtId="2" fontId="0" fillId="12" borderId="2" xfId="0" applyNumberFormat="1" applyFill="1" applyBorder="1" applyAlignment="1">
      <alignment horizontal="center"/>
    </xf>
    <xf numFmtId="0" fontId="2" fillId="13" borderId="2" xfId="0" applyFont="1" applyFill="1" applyBorder="1" applyAlignment="1">
      <alignment horizontal="center"/>
    </xf>
    <xf numFmtId="2" fontId="2" fillId="13" borderId="2" xfId="0" applyNumberFormat="1" applyFont="1" applyFill="1" applyBorder="1" applyAlignment="1">
      <alignment horizontal="center"/>
    </xf>
    <xf numFmtId="2" fontId="0" fillId="13" borderId="2" xfId="0" applyNumberForma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2" fontId="2" fillId="2" borderId="21" xfId="0" applyNumberFormat="1" applyFont="1" applyFill="1" applyBorder="1" applyAlignment="1">
      <alignment horizontal="center"/>
    </xf>
    <xf numFmtId="2" fontId="0" fillId="2" borderId="22" xfId="0" applyNumberForma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2" fontId="2" fillId="10" borderId="2" xfId="0" applyNumberFormat="1" applyFont="1" applyFill="1" applyBorder="1" applyAlignment="1">
      <alignment horizontal="center"/>
    </xf>
    <xf numFmtId="2" fontId="0" fillId="10" borderId="2" xfId="0" applyNumberForma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2" fontId="2" fillId="10" borderId="10" xfId="0" applyNumberFormat="1" applyFont="1" applyFill="1" applyBorder="1" applyAlignment="1">
      <alignment horizontal="center"/>
    </xf>
    <xf numFmtId="2" fontId="0" fillId="10" borderId="10" xfId="0" applyNumberForma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2" fillId="10" borderId="21" xfId="0" applyFont="1" applyFill="1" applyBorder="1" applyAlignment="1">
      <alignment horizontal="center"/>
    </xf>
    <xf numFmtId="2" fontId="2" fillId="10" borderId="21" xfId="0" applyNumberFormat="1" applyFont="1" applyFill="1" applyBorder="1" applyAlignment="1">
      <alignment horizontal="center"/>
    </xf>
    <xf numFmtId="2" fontId="0" fillId="10" borderId="22" xfId="0" applyNumberForma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2" fontId="2" fillId="10" borderId="3" xfId="0" applyNumberFormat="1" applyFont="1" applyFill="1" applyBorder="1" applyAlignment="1">
      <alignment horizontal="center"/>
    </xf>
    <xf numFmtId="2" fontId="0" fillId="10" borderId="3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0" fontId="0" fillId="2" borderId="2" xfId="3" applyNumberFormat="1" applyFont="1" applyFill="1" applyBorder="1" applyAlignment="1">
      <alignment horizontal="center"/>
    </xf>
    <xf numFmtId="10" fontId="0" fillId="10" borderId="2" xfId="3" applyNumberFormat="1" applyFont="1" applyFill="1" applyBorder="1" applyAlignment="1">
      <alignment horizontal="center"/>
    </xf>
    <xf numFmtId="10" fontId="0" fillId="2" borderId="0" xfId="0" applyNumberFormat="1" applyFill="1"/>
    <xf numFmtId="10" fontId="0" fillId="10" borderId="7" xfId="3" applyNumberFormat="1" applyFont="1" applyFill="1" applyBorder="1" applyAlignment="1">
      <alignment horizontal="center"/>
    </xf>
    <xf numFmtId="10" fontId="0" fillId="10" borderId="0" xfId="0" applyNumberFormat="1" applyFill="1"/>
    <xf numFmtId="10" fontId="0" fillId="2" borderId="0" xfId="3" applyNumberFormat="1" applyFont="1" applyFill="1" applyAlignment="1">
      <alignment horizontal="center"/>
    </xf>
    <xf numFmtId="10" fontId="0" fillId="10" borderId="0" xfId="3" applyNumberFormat="1" applyFont="1" applyFill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0" fillId="10" borderId="0" xfId="3" applyNumberFormat="1" applyFont="1" applyFill="1" applyBorder="1" applyAlignment="1">
      <alignment horizontal="center"/>
    </xf>
    <xf numFmtId="10" fontId="0" fillId="10" borderId="7" xfId="0" applyNumberFormat="1" applyFill="1" applyBorder="1" applyAlignment="1">
      <alignment horizontal="center"/>
    </xf>
    <xf numFmtId="10" fontId="0" fillId="10" borderId="0" xfId="0" applyNumberFormat="1" applyFill="1" applyBorder="1" applyAlignment="1">
      <alignment horizontal="center"/>
    </xf>
    <xf numFmtId="10" fontId="0" fillId="0" borderId="2" xfId="0" applyNumberFormat="1" applyFill="1" applyBorder="1"/>
    <xf numFmtId="10" fontId="0" fillId="0" borderId="0" xfId="3" applyNumberFormat="1" applyFont="1" applyBorder="1" applyAlignment="1">
      <alignment horizontal="center"/>
    </xf>
    <xf numFmtId="10" fontId="0" fillId="0" borderId="8" xfId="3" applyNumberFormat="1" applyFont="1" applyBorder="1" applyAlignment="1">
      <alignment horizontal="center"/>
    </xf>
    <xf numFmtId="10" fontId="0" fillId="0" borderId="11" xfId="3" applyNumberFormat="1" applyFont="1" applyBorder="1" applyAlignment="1">
      <alignment horizontal="center"/>
    </xf>
    <xf numFmtId="10" fontId="0" fillId="2" borderId="11" xfId="3" applyNumberFormat="1" applyFont="1" applyFill="1" applyBorder="1" applyAlignment="1">
      <alignment horizontal="center"/>
    </xf>
    <xf numFmtId="10" fontId="0" fillId="4" borderId="0" xfId="3" applyNumberFormat="1" applyFont="1" applyFill="1" applyBorder="1" applyAlignment="1">
      <alignment horizontal="center"/>
    </xf>
    <xf numFmtId="10" fontId="0" fillId="2" borderId="10" xfId="0" applyNumberFormat="1" applyFill="1" applyBorder="1"/>
    <xf numFmtId="10" fontId="0" fillId="2" borderId="7" xfId="0" applyNumberFormat="1" applyFill="1" applyBorder="1"/>
    <xf numFmtId="10" fontId="0" fillId="10" borderId="7" xfId="0" applyNumberFormat="1" applyFill="1" applyBorder="1"/>
    <xf numFmtId="10" fontId="0" fillId="10" borderId="3" xfId="0" applyNumberFormat="1" applyFill="1" applyBorder="1"/>
    <xf numFmtId="10" fontId="0" fillId="2" borderId="10" xfId="3" applyNumberFormat="1" applyFont="1" applyFill="1" applyBorder="1" applyAlignment="1">
      <alignment horizontal="center"/>
    </xf>
    <xf numFmtId="10" fontId="0" fillId="10" borderId="3" xfId="3" applyNumberFormat="1" applyFont="1" applyFill="1" applyBorder="1" applyAlignment="1">
      <alignment horizontal="center"/>
    </xf>
    <xf numFmtId="0" fontId="9" fillId="0" borderId="0" xfId="0" applyFont="1"/>
    <xf numFmtId="0" fontId="1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6" fillId="0" borderId="0" xfId="0" applyFont="1"/>
    <xf numFmtId="0" fontId="18" fillId="0" borderId="0" xfId="0" applyFont="1"/>
    <xf numFmtId="0" fontId="15" fillId="0" borderId="0" xfId="0" applyFont="1"/>
    <xf numFmtId="0" fontId="19" fillId="0" borderId="0" xfId="0" applyFont="1"/>
    <xf numFmtId="0" fontId="22" fillId="0" borderId="0" xfId="0" applyFont="1"/>
    <xf numFmtId="2" fontId="23" fillId="8" borderId="27" xfId="0" applyNumberFormat="1" applyFont="1" applyFill="1" applyBorder="1" applyAlignment="1">
      <alignment horizontal="center"/>
    </xf>
    <xf numFmtId="2" fontId="23" fillId="8" borderId="2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2" fontId="0" fillId="0" borderId="7" xfId="0" applyNumberFormat="1" applyBorder="1" applyAlignment="1">
      <alignment horizontal="center"/>
    </xf>
    <xf numFmtId="0" fontId="2" fillId="0" borderId="10" xfId="1" applyBorder="1"/>
    <xf numFmtId="0" fontId="2" fillId="0" borderId="7" xfId="1" applyBorder="1"/>
    <xf numFmtId="0" fontId="2" fillId="0" borderId="7" xfId="1" applyFill="1" applyBorder="1"/>
    <xf numFmtId="0" fontId="2" fillId="0" borderId="7" xfId="1" applyFill="1" applyBorder="1" applyAlignment="1">
      <alignment horizontal="center"/>
    </xf>
    <xf numFmtId="9" fontId="1" fillId="0" borderId="0" xfId="3" applyFont="1" applyAlignment="1">
      <alignment horizontal="center"/>
    </xf>
    <xf numFmtId="9" fontId="0" fillId="0" borderId="0" xfId="0" applyNumberFormat="1"/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/>
    <xf numFmtId="0" fontId="2" fillId="0" borderId="2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8" xfId="0" applyBorder="1"/>
    <xf numFmtId="0" fontId="0" fillId="0" borderId="29" xfId="0" applyBorder="1"/>
    <xf numFmtId="0" fontId="0" fillId="0" borderId="19" xfId="0" applyBorder="1"/>
    <xf numFmtId="0" fontId="0" fillId="0" borderId="0" xfId="0" applyFill="1" applyBorder="1" applyAlignment="1">
      <alignment horizontal="left" indent="6"/>
    </xf>
    <xf numFmtId="9" fontId="2" fillId="0" borderId="0" xfId="3" applyFont="1" applyFill="1" applyBorder="1" applyAlignment="1">
      <alignment horizontal="center"/>
    </xf>
    <xf numFmtId="9" fontId="0" fillId="0" borderId="0" xfId="0" applyNumberFormat="1" applyBorder="1"/>
    <xf numFmtId="12" fontId="0" fillId="0" borderId="0" xfId="0" applyNumberFormat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2" fillId="6" borderId="4" xfId="0" applyFont="1" applyFill="1" applyBorder="1" applyAlignment="1">
      <alignment horizontal="left" indent="5"/>
    </xf>
    <xf numFmtId="0" fontId="0" fillId="6" borderId="5" xfId="0" applyFill="1" applyBorder="1" applyAlignment="1">
      <alignment horizontal="left" indent="1"/>
    </xf>
    <xf numFmtId="0" fontId="0" fillId="6" borderId="6" xfId="0" applyFill="1" applyBorder="1" applyAlignment="1">
      <alignment horizontal="left"/>
    </xf>
    <xf numFmtId="0" fontId="2" fillId="6" borderId="9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2" fillId="0" borderId="2" xfId="2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0" fillId="8" borderId="0" xfId="0" applyNumberFormat="1" applyFill="1" applyAlignment="1">
      <alignment horizontal="center"/>
    </xf>
    <xf numFmtId="164" fontId="0" fillId="0" borderId="7" xfId="2" applyNumberFormat="1" applyFont="1" applyFill="1" applyBorder="1" applyAlignment="1">
      <alignment horizontal="center"/>
    </xf>
    <xf numFmtId="164" fontId="0" fillId="0" borderId="0" xfId="2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26" fillId="14" borderId="23" xfId="0" applyFont="1" applyFill="1" applyBorder="1" applyAlignment="1">
      <alignment horizontal="center"/>
    </xf>
    <xf numFmtId="0" fontId="2" fillId="14" borderId="23" xfId="0" applyFont="1" applyFill="1" applyBorder="1" applyAlignment="1">
      <alignment horizontal="center"/>
    </xf>
    <xf numFmtId="164" fontId="2" fillId="2" borderId="2" xfId="3" applyNumberFormat="1" applyFont="1" applyFill="1" applyBorder="1" applyAlignment="1">
      <alignment horizontal="center"/>
    </xf>
    <xf numFmtId="164" fontId="2" fillId="2" borderId="10" xfId="3" applyNumberFormat="1" applyFont="1" applyFill="1" applyBorder="1" applyAlignment="1">
      <alignment horizontal="center"/>
    </xf>
    <xf numFmtId="164" fontId="2" fillId="2" borderId="3" xfId="3" applyNumberFormat="1" applyFont="1" applyFill="1" applyBorder="1" applyAlignment="1">
      <alignment horizontal="center"/>
    </xf>
    <xf numFmtId="164" fontId="2" fillId="2" borderId="21" xfId="3" applyNumberFormat="1" applyFont="1" applyFill="1" applyBorder="1" applyAlignment="1">
      <alignment horizontal="center"/>
    </xf>
    <xf numFmtId="164" fontId="2" fillId="10" borderId="2" xfId="3" applyNumberFormat="1" applyFont="1" applyFill="1" applyBorder="1" applyAlignment="1">
      <alignment horizontal="center"/>
    </xf>
    <xf numFmtId="164" fontId="2" fillId="10" borderId="10" xfId="3" applyNumberFormat="1" applyFont="1" applyFill="1" applyBorder="1" applyAlignment="1">
      <alignment horizontal="center"/>
    </xf>
    <xf numFmtId="164" fontId="2" fillId="10" borderId="21" xfId="3" applyNumberFormat="1" applyFont="1" applyFill="1" applyBorder="1" applyAlignment="1">
      <alignment horizontal="center"/>
    </xf>
    <xf numFmtId="164" fontId="2" fillId="10" borderId="3" xfId="3" applyNumberFormat="1" applyFont="1" applyFill="1" applyBorder="1" applyAlignment="1">
      <alignment horizontal="center"/>
    </xf>
    <xf numFmtId="164" fontId="0" fillId="0" borderId="14" xfId="3" applyNumberFormat="1" applyFont="1" applyBorder="1" applyAlignment="1">
      <alignment horizontal="center"/>
    </xf>
    <xf numFmtId="164" fontId="0" fillId="0" borderId="13" xfId="3" applyNumberFormat="1" applyFont="1" applyBorder="1" applyAlignment="1">
      <alignment horizontal="center"/>
    </xf>
    <xf numFmtId="164" fontId="0" fillId="8" borderId="10" xfId="3" applyNumberFormat="1" applyFont="1" applyFill="1" applyBorder="1" applyAlignment="1">
      <alignment horizontal="center"/>
    </xf>
    <xf numFmtId="164" fontId="0" fillId="8" borderId="7" xfId="3" applyNumberFormat="1" applyFont="1" applyFill="1" applyBorder="1" applyAlignment="1">
      <alignment horizontal="center"/>
    </xf>
    <xf numFmtId="164" fontId="0" fillId="8" borderId="3" xfId="3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23" xfId="0" applyBorder="1"/>
    <xf numFmtId="0" fontId="0" fillId="2" borderId="32" xfId="0" applyFill="1" applyBorder="1" applyAlignment="1">
      <alignment horizontal="center"/>
    </xf>
    <xf numFmtId="0" fontId="0" fillId="2" borderId="27" xfId="0" applyFill="1" applyBorder="1"/>
    <xf numFmtId="0" fontId="4" fillId="14" borderId="2" xfId="0" applyFont="1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29" fillId="0" borderId="0" xfId="0" applyFont="1" applyBorder="1"/>
    <xf numFmtId="0" fontId="10" fillId="0" borderId="0" xfId="0" applyFont="1" applyBorder="1"/>
    <xf numFmtId="0" fontId="31" fillId="11" borderId="0" xfId="0" applyFont="1" applyFill="1" applyBorder="1"/>
    <xf numFmtId="0" fontId="1" fillId="11" borderId="0" xfId="0" applyFont="1" applyFill="1" applyBorder="1"/>
    <xf numFmtId="0" fontId="25" fillId="0" borderId="0" xfId="0" applyFont="1" applyBorder="1"/>
    <xf numFmtId="0" fontId="11" fillId="0" borderId="0" xfId="0" applyFont="1" applyBorder="1" applyAlignment="1">
      <alignment horizontal="right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0" fillId="0" borderId="36" xfId="0" applyFont="1" applyBorder="1"/>
    <xf numFmtId="0" fontId="0" fillId="0" borderId="37" xfId="0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2" xfId="0" applyBorder="1" applyAlignment="1">
      <alignment horizontal="center"/>
    </xf>
    <xf numFmtId="0" fontId="0" fillId="0" borderId="43" xfId="0" applyBorder="1"/>
    <xf numFmtId="0" fontId="32" fillId="0" borderId="0" xfId="0" applyFont="1" applyBorder="1"/>
    <xf numFmtId="9" fontId="0" fillId="0" borderId="4" xfId="3" applyFont="1" applyBorder="1" applyAlignment="1">
      <alignment horizontal="center"/>
    </xf>
    <xf numFmtId="0" fontId="0" fillId="0" borderId="5" xfId="0" applyBorder="1" applyAlignment="1">
      <alignment horizontal="left" indent="1"/>
    </xf>
    <xf numFmtId="9" fontId="0" fillId="0" borderId="4" xfId="0" applyNumberFormat="1" applyBorder="1"/>
    <xf numFmtId="0" fontId="27" fillId="0" borderId="0" xfId="0" applyFont="1" applyFill="1" applyBorder="1"/>
    <xf numFmtId="0" fontId="24" fillId="0" borderId="0" xfId="0" applyFont="1" applyFill="1" applyBorder="1"/>
    <xf numFmtId="0" fontId="25" fillId="0" borderId="0" xfId="0" applyFont="1" applyFill="1" applyBorder="1"/>
    <xf numFmtId="0" fontId="11" fillId="0" borderId="0" xfId="0" applyFont="1" applyFill="1" applyBorder="1" applyAlignment="1">
      <alignment horizontal="right"/>
    </xf>
    <xf numFmtId="16" fontId="0" fillId="0" borderId="0" xfId="0" applyNumberFormat="1" applyFill="1" applyBorder="1" applyAlignment="1">
      <alignment horizontal="left" indent="4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67" fontId="0" fillId="0" borderId="0" xfId="0" applyNumberFormat="1" applyFill="1" applyBorder="1"/>
    <xf numFmtId="0" fontId="1" fillId="0" borderId="0" xfId="0" applyFont="1" applyFill="1" applyBorder="1" applyAlignment="1">
      <alignment horizontal="center"/>
    </xf>
    <xf numFmtId="9" fontId="1" fillId="0" borderId="0" xfId="3" applyFont="1" applyFill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0" fontId="33" fillId="0" borderId="44" xfId="0" applyFont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2" fontId="34" fillId="0" borderId="46" xfId="0" applyNumberFormat="1" applyFont="1" applyFill="1" applyBorder="1" applyAlignment="1">
      <alignment horizontal="center" vertical="center"/>
    </xf>
    <xf numFmtId="2" fontId="31" fillId="2" borderId="2" xfId="0" applyNumberFormat="1" applyFont="1" applyFill="1" applyBorder="1" applyAlignment="1">
      <alignment horizontal="center"/>
    </xf>
    <xf numFmtId="0" fontId="34" fillId="0" borderId="47" xfId="0" applyFont="1" applyBorder="1" applyAlignment="1">
      <alignment horizontal="center" vertical="center"/>
    </xf>
    <xf numFmtId="2" fontId="34" fillId="0" borderId="48" xfId="0" applyNumberFormat="1" applyFont="1" applyFill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0" xfId="0" applyFont="1"/>
    <xf numFmtId="0" fontId="33" fillId="15" borderId="23" xfId="0" applyFont="1" applyFill="1" applyBorder="1" applyAlignment="1">
      <alignment horizontal="center" vertical="center" wrapText="1"/>
    </xf>
    <xf numFmtId="0" fontId="33" fillId="15" borderId="24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2" fontId="34" fillId="15" borderId="46" xfId="0" applyNumberFormat="1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/>
    </xf>
    <xf numFmtId="2" fontId="34" fillId="15" borderId="48" xfId="0" applyNumberFormat="1" applyFont="1" applyFill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2" fontId="34" fillId="15" borderId="5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/>
    </xf>
    <xf numFmtId="2" fontId="0" fillId="0" borderId="0" xfId="0" applyNumberFormat="1" applyBorder="1"/>
    <xf numFmtId="10" fontId="0" fillId="0" borderId="0" xfId="3" applyNumberFormat="1" applyFont="1" applyFill="1" applyBorder="1"/>
    <xf numFmtId="2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0" fontId="35" fillId="0" borderId="0" xfId="0" applyFont="1" applyFill="1" applyBorder="1"/>
    <xf numFmtId="0" fontId="36" fillId="0" borderId="0" xfId="0" applyFont="1"/>
    <xf numFmtId="0" fontId="37" fillId="0" borderId="56" xfId="0" applyFont="1" applyBorder="1" applyAlignment="1">
      <alignment horizontal="center" wrapText="1"/>
    </xf>
    <xf numFmtId="0" fontId="37" fillId="0" borderId="60" xfId="0" applyFont="1" applyBorder="1" applyAlignment="1">
      <alignment horizontal="center" wrapText="1"/>
    </xf>
    <xf numFmtId="0" fontId="37" fillId="0" borderId="53" xfId="0" applyFont="1" applyBorder="1"/>
    <xf numFmtId="2" fontId="36" fillId="16" borderId="55" xfId="0" applyNumberFormat="1" applyFont="1" applyFill="1" applyBorder="1"/>
    <xf numFmtId="0" fontId="36" fillId="0" borderId="2" xfId="0" applyFont="1" applyBorder="1"/>
    <xf numFmtId="0" fontId="36" fillId="0" borderId="0" xfId="0" applyFont="1" applyBorder="1"/>
    <xf numFmtId="0" fontId="36" fillId="16" borderId="2" xfId="0" applyFont="1" applyFill="1" applyBorder="1"/>
    <xf numFmtId="0" fontId="37" fillId="0" borderId="54" xfId="0" applyFont="1" applyBorder="1"/>
    <xf numFmtId="2" fontId="36" fillId="16" borderId="58" xfId="0" applyNumberFormat="1" applyFont="1" applyFill="1" applyBorder="1"/>
    <xf numFmtId="0" fontId="37" fillId="0" borderId="0" xfId="0" applyFont="1" applyFill="1" applyBorder="1"/>
    <xf numFmtId="0" fontId="38" fillId="0" borderId="53" xfId="1" applyFont="1" applyFill="1" applyBorder="1" applyAlignment="1">
      <alignment horizontal="left" vertical="center" wrapText="1"/>
    </xf>
    <xf numFmtId="10" fontId="36" fillId="16" borderId="2" xfId="0" applyNumberFormat="1" applyFont="1" applyFill="1" applyBorder="1"/>
    <xf numFmtId="10" fontId="36" fillId="16" borderId="55" xfId="0" applyNumberFormat="1" applyFont="1" applyFill="1" applyBorder="1"/>
    <xf numFmtId="0" fontId="38" fillId="0" borderId="53" xfId="1" applyFont="1" applyFill="1" applyBorder="1" applyAlignment="1">
      <alignment horizontal="left" vertical="center"/>
    </xf>
    <xf numFmtId="0" fontId="36" fillId="0" borderId="54" xfId="0" applyFont="1" applyFill="1" applyBorder="1" applyAlignment="1">
      <alignment horizontal="left"/>
    </xf>
    <xf numFmtId="10" fontId="36" fillId="16" borderId="59" xfId="0" applyNumberFormat="1" applyFont="1" applyFill="1" applyBorder="1"/>
    <xf numFmtId="10" fontId="36" fillId="16" borderId="58" xfId="0" applyNumberFormat="1" applyFont="1" applyFill="1" applyBorder="1"/>
    <xf numFmtId="0" fontId="37" fillId="0" borderId="57" xfId="0" applyFont="1" applyBorder="1" applyAlignment="1">
      <alignment horizontal="center" wrapText="1"/>
    </xf>
    <xf numFmtId="0" fontId="35" fillId="0" borderId="0" xfId="0" applyFont="1"/>
    <xf numFmtId="168" fontId="36" fillId="0" borderId="0" xfId="0" applyNumberFormat="1" applyFont="1"/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9" fontId="36" fillId="0" borderId="0" xfId="3" applyFont="1"/>
    <xf numFmtId="1" fontId="36" fillId="0" borderId="0" xfId="0" applyNumberFormat="1" applyFont="1"/>
    <xf numFmtId="0" fontId="7" fillId="0" borderId="0" xfId="0" applyFont="1"/>
    <xf numFmtId="0" fontId="39" fillId="0" borderId="0" xfId="0" applyFont="1"/>
    <xf numFmtId="0" fontId="36" fillId="0" borderId="65" xfId="0" applyFont="1" applyBorder="1" applyAlignment="1">
      <alignment vertical="top"/>
    </xf>
    <xf numFmtId="0" fontId="40" fillId="0" borderId="0" xfId="0" applyFont="1"/>
    <xf numFmtId="0" fontId="36" fillId="16" borderId="59" xfId="0" applyFont="1" applyFill="1" applyBorder="1"/>
    <xf numFmtId="9" fontId="36" fillId="16" borderId="2" xfId="3" applyFont="1" applyFill="1" applyBorder="1"/>
    <xf numFmtId="0" fontId="36" fillId="0" borderId="53" xfId="0" applyFont="1" applyBorder="1" applyAlignment="1">
      <alignment horizontal="center"/>
    </xf>
    <xf numFmtId="0" fontId="36" fillId="16" borderId="55" xfId="0" applyFont="1" applyFill="1" applyBorder="1"/>
    <xf numFmtId="0" fontId="36" fillId="0" borderId="53" xfId="0" applyFont="1" applyBorder="1" applyAlignment="1">
      <alignment vertical="top"/>
    </xf>
    <xf numFmtId="9" fontId="36" fillId="16" borderId="55" xfId="3" applyFont="1" applyFill="1" applyBorder="1"/>
    <xf numFmtId="1" fontId="36" fillId="16" borderId="55" xfId="0" applyNumberFormat="1" applyFont="1" applyFill="1" applyBorder="1"/>
    <xf numFmtId="0" fontId="36" fillId="0" borderId="54" xfId="0" applyFont="1" applyBorder="1" applyAlignment="1">
      <alignment horizontal="center"/>
    </xf>
    <xf numFmtId="0" fontId="40" fillId="16" borderId="58" xfId="0" applyFont="1" applyFill="1" applyBorder="1"/>
    <xf numFmtId="0" fontId="37" fillId="0" borderId="56" xfId="0" applyFont="1" applyFill="1" applyBorder="1"/>
    <xf numFmtId="0" fontId="37" fillId="0" borderId="57" xfId="0" applyFont="1" applyBorder="1"/>
    <xf numFmtId="0" fontId="37" fillId="0" borderId="53" xfId="0" applyFont="1" applyFill="1" applyBorder="1"/>
    <xf numFmtId="0" fontId="37" fillId="0" borderId="54" xfId="0" applyFont="1" applyFill="1" applyBorder="1"/>
    <xf numFmtId="0" fontId="41" fillId="0" borderId="56" xfId="1" applyFont="1" applyFill="1" applyBorder="1" applyAlignment="1">
      <alignment horizontal="center" wrapText="1"/>
    </xf>
    <xf numFmtId="0" fontId="37" fillId="0" borderId="60" xfId="0" applyFont="1" applyFill="1" applyBorder="1" applyAlignment="1">
      <alignment horizontal="center" wrapText="1"/>
    </xf>
    <xf numFmtId="0" fontId="41" fillId="0" borderId="60" xfId="1" applyFont="1" applyFill="1" applyBorder="1" applyAlignment="1">
      <alignment horizontal="center" wrapText="1"/>
    </xf>
    <xf numFmtId="0" fontId="41" fillId="0" borderId="57" xfId="1" applyFont="1" applyFill="1" applyBorder="1" applyAlignment="1">
      <alignment horizontal="center" wrapText="1"/>
    </xf>
    <xf numFmtId="10" fontId="36" fillId="16" borderId="2" xfId="3" applyNumberFormat="1" applyFont="1" applyFill="1" applyBorder="1" applyAlignment="1">
      <alignment horizontal="center"/>
    </xf>
    <xf numFmtId="2" fontId="36" fillId="16" borderId="2" xfId="3" applyNumberFormat="1" applyFont="1" applyFill="1" applyBorder="1"/>
    <xf numFmtId="0" fontId="37" fillId="0" borderId="57" xfId="0" applyFont="1" applyFill="1" applyBorder="1" applyAlignment="1">
      <alignment horizontal="center" wrapText="1"/>
    </xf>
    <xf numFmtId="2" fontId="36" fillId="16" borderId="59" xfId="3" applyNumberFormat="1" applyFont="1" applyFill="1" applyBorder="1"/>
    <xf numFmtId="10" fontId="36" fillId="16" borderId="59" xfId="3" applyNumberFormat="1" applyFont="1" applyFill="1" applyBorder="1" applyAlignment="1">
      <alignment horizontal="center"/>
    </xf>
    <xf numFmtId="9" fontId="36" fillId="16" borderId="58" xfId="3" applyFont="1" applyFill="1" applyBorder="1"/>
    <xf numFmtId="0" fontId="37" fillId="0" borderId="0" xfId="0" applyFont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Alignment="1">
      <alignment horizontal="left"/>
    </xf>
    <xf numFmtId="10" fontId="37" fillId="16" borderId="2" xfId="3" applyNumberFormat="1" applyFont="1" applyFill="1" applyBorder="1"/>
    <xf numFmtId="9" fontId="0" fillId="16" borderId="55" xfId="0" applyNumberFormat="1" applyFill="1" applyBorder="1"/>
    <xf numFmtId="9" fontId="36" fillId="16" borderId="59" xfId="3" applyFont="1" applyFill="1" applyBorder="1"/>
    <xf numFmtId="9" fontId="0" fillId="16" borderId="58" xfId="0" applyNumberFormat="1" applyFill="1" applyBorder="1"/>
    <xf numFmtId="9" fontId="36" fillId="16" borderId="2" xfId="3" applyNumberFormat="1" applyFont="1" applyFill="1" applyBorder="1" applyAlignment="1">
      <alignment horizontal="center"/>
    </xf>
    <xf numFmtId="9" fontId="36" fillId="16" borderId="59" xfId="3" applyNumberFormat="1" applyFont="1" applyFill="1" applyBorder="1" applyAlignment="1">
      <alignment horizontal="center"/>
    </xf>
    <xf numFmtId="0" fontId="36" fillId="0" borderId="3" xfId="0" applyFont="1" applyBorder="1" applyAlignment="1" applyProtection="1">
      <alignment horizontal="right" wrapText="1"/>
      <protection locked="0"/>
    </xf>
    <xf numFmtId="0" fontId="36" fillId="0" borderId="2" xfId="0" applyFont="1" applyBorder="1" applyProtection="1">
      <protection locked="0"/>
    </xf>
    <xf numFmtId="2" fontId="36" fillId="0" borderId="2" xfId="0" applyNumberFormat="1" applyFont="1" applyBorder="1" applyProtection="1">
      <protection locked="0"/>
    </xf>
    <xf numFmtId="2" fontId="38" fillId="0" borderId="2" xfId="0" applyNumberFormat="1" applyFont="1" applyBorder="1" applyAlignment="1" applyProtection="1">
      <alignment horizontal="right" vertical="center" wrapText="1"/>
      <protection locked="0"/>
    </xf>
    <xf numFmtId="2" fontId="36" fillId="0" borderId="2" xfId="3" applyNumberFormat="1" applyFont="1" applyBorder="1" applyAlignment="1" applyProtection="1">
      <alignment horizontal="right"/>
      <protection locked="0"/>
    </xf>
    <xf numFmtId="2" fontId="36" fillId="0" borderId="59" xfId="3" applyNumberFormat="1" applyFont="1" applyBorder="1" applyAlignment="1" applyProtection="1">
      <alignment horizontal="right"/>
      <protection locked="0"/>
    </xf>
    <xf numFmtId="2" fontId="36" fillId="0" borderId="2" xfId="3" applyNumberFormat="1" applyFont="1" applyBorder="1" applyProtection="1">
      <protection locked="0"/>
    </xf>
    <xf numFmtId="2" fontId="36" fillId="0" borderId="2" xfId="3" applyNumberFormat="1" applyFont="1" applyFill="1" applyBorder="1" applyProtection="1">
      <protection locked="0"/>
    </xf>
    <xf numFmtId="2" fontId="36" fillId="0" borderId="59" xfId="3" applyNumberFormat="1" applyFont="1" applyBorder="1" applyProtection="1">
      <protection locked="0"/>
    </xf>
    <xf numFmtId="2" fontId="36" fillId="0" borderId="59" xfId="3" applyNumberFormat="1" applyFont="1" applyFill="1" applyBorder="1" applyProtection="1">
      <protection locked="0"/>
    </xf>
    <xf numFmtId="2" fontId="36" fillId="16" borderId="3" xfId="0" applyNumberFormat="1" applyFont="1" applyFill="1" applyBorder="1"/>
    <xf numFmtId="2" fontId="0" fillId="16" borderId="3" xfId="0" applyNumberFormat="1" applyFill="1" applyBorder="1"/>
    <xf numFmtId="168" fontId="36" fillId="16" borderId="2" xfId="0" applyNumberFormat="1" applyFont="1" applyFill="1" applyBorder="1"/>
    <xf numFmtId="0" fontId="36" fillId="0" borderId="0" xfId="0" applyFont="1" applyBorder="1" applyAlignment="1">
      <alignment horizontal="center"/>
    </xf>
    <xf numFmtId="168" fontId="36" fillId="16" borderId="3" xfId="0" applyNumberFormat="1" applyFont="1" applyFill="1" applyBorder="1"/>
    <xf numFmtId="10" fontId="36" fillId="16" borderId="3" xfId="0" applyNumberFormat="1" applyFont="1" applyFill="1" applyBorder="1"/>
    <xf numFmtId="0" fontId="38" fillId="0" borderId="54" xfId="1" applyFont="1" applyFill="1" applyBorder="1" applyAlignment="1">
      <alignment horizontal="left" vertical="center"/>
    </xf>
    <xf numFmtId="1" fontId="36" fillId="0" borderId="2" xfId="0" applyNumberFormat="1" applyFont="1" applyBorder="1" applyProtection="1">
      <protection locked="0"/>
    </xf>
    <xf numFmtId="10" fontId="36" fillId="0" borderId="0" xfId="0" applyNumberFormat="1" applyFont="1" applyFill="1" applyBorder="1"/>
    <xf numFmtId="10" fontId="36" fillId="0" borderId="61" xfId="0" applyNumberFormat="1" applyFont="1" applyBorder="1" applyAlignment="1" applyProtection="1">
      <alignment horizontal="center"/>
      <protection locked="0"/>
    </xf>
    <xf numFmtId="10" fontId="36" fillId="0" borderId="62" xfId="0" applyNumberFormat="1" applyFont="1" applyBorder="1" applyAlignment="1" applyProtection="1">
      <alignment horizontal="center"/>
      <protection locked="0"/>
    </xf>
    <xf numFmtId="0" fontId="37" fillId="0" borderId="60" xfId="0" applyFont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36" fillId="0" borderId="4" xfId="0" applyFont="1" applyBorder="1" applyAlignment="1" applyProtection="1">
      <alignment horizontal="center"/>
      <protection locked="0"/>
    </xf>
    <xf numFmtId="0" fontId="36" fillId="0" borderId="6" xfId="0" applyFont="1" applyBorder="1" applyAlignment="1" applyProtection="1">
      <alignment horizontal="center"/>
      <protection locked="0"/>
    </xf>
    <xf numFmtId="0" fontId="37" fillId="0" borderId="63" xfId="0" applyFont="1" applyBorder="1" applyAlignment="1">
      <alignment horizontal="center" wrapText="1"/>
    </xf>
    <xf numFmtId="0" fontId="37" fillId="0" borderId="64" xfId="0" applyFont="1" applyBorder="1" applyAlignment="1">
      <alignment horizontal="center" wrapText="1"/>
    </xf>
    <xf numFmtId="0" fontId="36" fillId="0" borderId="4" xfId="0" applyFont="1" applyBorder="1" applyAlignment="1" applyProtection="1">
      <alignment horizontal="center" wrapText="1"/>
      <protection locked="0"/>
    </xf>
    <xf numFmtId="0" fontId="36" fillId="0" borderId="6" xfId="0" applyFont="1" applyBorder="1" applyAlignment="1" applyProtection="1">
      <alignment horizontal="center" wrapText="1"/>
      <protection locked="0"/>
    </xf>
    <xf numFmtId="0" fontId="42" fillId="0" borderId="0" xfId="0" applyFont="1" applyAlignment="1">
      <alignment horizontal="right"/>
    </xf>
    <xf numFmtId="0" fontId="37" fillId="0" borderId="57" xfId="0" applyFont="1" applyBorder="1" applyAlignment="1">
      <alignment horizontal="center"/>
    </xf>
    <xf numFmtId="0" fontId="0" fillId="0" borderId="55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37" fillId="0" borderId="0" xfId="0" applyFont="1" applyBorder="1" applyAlignment="1">
      <alignment horizontal="right"/>
    </xf>
    <xf numFmtId="0" fontId="0" fillId="0" borderId="0" xfId="0" applyBorder="1" applyAlignment="1">
      <alignment horizontal="center" wrapText="1"/>
    </xf>
  </cellXfs>
  <cellStyles count="4">
    <cellStyle name="Normal" xfId="0" builtinId="0"/>
    <cellStyle name="Normal 2" xfId="1"/>
    <cellStyle name="Percent" xfId="3" builtin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872111379379934E-2"/>
          <c:y val="2.5624645699134262E-2"/>
          <c:w val="0.86240792999700189"/>
          <c:h val="0.82321716612360629"/>
        </c:manualLayout>
      </c:layout>
      <c:lineChart>
        <c:grouping val="standard"/>
        <c:varyColors val="0"/>
        <c:ser>
          <c:idx val="14"/>
          <c:order val="0"/>
          <c:tx>
            <c:v>Coarse I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'Sieve Analysis'!$B$58:$B$69</c:f>
              <c:strCache>
                <c:ptCount val="12"/>
                <c:pt idx="0">
                  <c:v>1.5"</c:v>
                </c:pt>
                <c:pt idx="1">
                  <c:v>1"</c:v>
                </c:pt>
                <c:pt idx="2">
                  <c:v>3/4"</c:v>
                </c:pt>
                <c:pt idx="3">
                  <c:v>1/2"</c:v>
                </c:pt>
                <c:pt idx="4">
                  <c:v>3/8"</c:v>
                </c:pt>
                <c:pt idx="5">
                  <c:v>#4</c:v>
                </c:pt>
                <c:pt idx="6">
                  <c:v>#8</c:v>
                </c:pt>
                <c:pt idx="7">
                  <c:v>#16</c:v>
                </c:pt>
                <c:pt idx="8">
                  <c:v>#30</c:v>
                </c:pt>
                <c:pt idx="9">
                  <c:v>#50</c:v>
                </c:pt>
                <c:pt idx="10">
                  <c:v>#100</c:v>
                </c:pt>
                <c:pt idx="11">
                  <c:v>Pan</c:v>
                </c:pt>
              </c:strCache>
            </c:strRef>
          </c:cat>
          <c:val>
            <c:numRef>
              <c:f>'Sieve Analysis'!$G$7:$G$18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Coarse II</c:v>
          </c:tx>
          <c:spPr>
            <a:ln w="38100"/>
          </c:spPr>
          <c:marker>
            <c:symbol val="none"/>
          </c:marker>
          <c:val>
            <c:numRef>
              <c:f>'Sieve Analysis'!$G$24:$G$35</c:f>
              <c:numCache>
                <c:formatCode>0%</c:formatCode>
                <c:ptCount val="12"/>
                <c:pt idx="0">
                  <c:v>1</c:v>
                </c:pt>
                <c:pt idx="1">
                  <c:v>0.93460000000000021</c:v>
                </c:pt>
                <c:pt idx="2">
                  <c:v>0.56020000000000203</c:v>
                </c:pt>
                <c:pt idx="3">
                  <c:v>0.22270000000000328</c:v>
                </c:pt>
                <c:pt idx="4">
                  <c:v>9.8600000000003879E-2</c:v>
                </c:pt>
                <c:pt idx="5">
                  <c:v>8.0000000000041704E-3</c:v>
                </c:pt>
                <c:pt idx="6">
                  <c:v>1.5612511283791264E-17</c:v>
                </c:pt>
                <c:pt idx="7">
                  <c:v>1.5612511283791264E-17</c:v>
                </c:pt>
                <c:pt idx="8">
                  <c:v>1.5612511283791264E-17</c:v>
                </c:pt>
                <c:pt idx="9">
                  <c:v>1.5612511283791264E-17</c:v>
                </c:pt>
                <c:pt idx="10">
                  <c:v>1.5612511283791264E-17</c:v>
                </c:pt>
                <c:pt idx="11">
                  <c:v>1.5612511283791264E-17</c:v>
                </c:pt>
              </c:numCache>
            </c:numRef>
          </c:val>
          <c:smooth val="0"/>
        </c:ser>
        <c:ser>
          <c:idx val="1"/>
          <c:order val="2"/>
          <c:tx>
            <c:v>Coarse III</c:v>
          </c:tx>
          <c:spPr>
            <a:ln w="38100"/>
          </c:spPr>
          <c:marker>
            <c:symbol val="none"/>
          </c:marker>
          <c:val>
            <c:numRef>
              <c:f>'Sieve Analysis'!$G$41:$G$52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0.99949829420028125</c:v>
                </c:pt>
                <c:pt idx="4">
                  <c:v>0.93919325707405221</c:v>
                </c:pt>
                <c:pt idx="5">
                  <c:v>0.4831426851294407</c:v>
                </c:pt>
                <c:pt idx="6">
                  <c:v>0.13716636564318735</c:v>
                </c:pt>
                <c:pt idx="7">
                  <c:v>2.1071643588200073E-2</c:v>
                </c:pt>
                <c:pt idx="8">
                  <c:v>7.2858385991025898E-17</c:v>
                </c:pt>
                <c:pt idx="9">
                  <c:v>7.2858385991025898E-17</c:v>
                </c:pt>
                <c:pt idx="10">
                  <c:v>7.2858385991025898E-17</c:v>
                </c:pt>
                <c:pt idx="11">
                  <c:v>7.2858385991025898E-17</c:v>
                </c:pt>
              </c:numCache>
            </c:numRef>
          </c:val>
          <c:smooth val="0"/>
        </c:ser>
        <c:ser>
          <c:idx val="13"/>
          <c:order val="3"/>
          <c:tx>
            <c:v>Fine</c:v>
          </c:tx>
          <c:spPr>
            <a:ln w="381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'Sieve Analysis'!$B$58:$B$69</c:f>
              <c:strCache>
                <c:ptCount val="12"/>
                <c:pt idx="0">
                  <c:v>1.5"</c:v>
                </c:pt>
                <c:pt idx="1">
                  <c:v>1"</c:v>
                </c:pt>
                <c:pt idx="2">
                  <c:v>3/4"</c:v>
                </c:pt>
                <c:pt idx="3">
                  <c:v>1/2"</c:v>
                </c:pt>
                <c:pt idx="4">
                  <c:v>3/8"</c:v>
                </c:pt>
                <c:pt idx="5">
                  <c:v>#4</c:v>
                </c:pt>
                <c:pt idx="6">
                  <c:v>#8</c:v>
                </c:pt>
                <c:pt idx="7">
                  <c:v>#16</c:v>
                </c:pt>
                <c:pt idx="8">
                  <c:v>#30</c:v>
                </c:pt>
                <c:pt idx="9">
                  <c:v>#50</c:v>
                </c:pt>
                <c:pt idx="10">
                  <c:v>#100</c:v>
                </c:pt>
                <c:pt idx="11">
                  <c:v>Pan</c:v>
                </c:pt>
              </c:strCache>
            </c:strRef>
          </c:cat>
          <c:val>
            <c:numRef>
              <c:f>'Sieve Analysis'!$G$58:$G$69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0.97517608197487693</c:v>
                </c:pt>
                <c:pt idx="5">
                  <c:v>0.9671956556717336</c:v>
                </c:pt>
                <c:pt idx="6">
                  <c:v>0.94978250444667167</c:v>
                </c:pt>
                <c:pt idx="7">
                  <c:v>0.82968448449112819</c:v>
                </c:pt>
                <c:pt idx="8">
                  <c:v>0.52735057250101436</c:v>
                </c:pt>
                <c:pt idx="9">
                  <c:v>0.17233071163159136</c:v>
                </c:pt>
                <c:pt idx="10">
                  <c:v>3.3028433778627464E-2</c:v>
                </c:pt>
                <c:pt idx="11">
                  <c:v>5.5511151231257827E-17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585904"/>
        <c:axId val="224651392"/>
      </c:lineChart>
      <c:catAx>
        <c:axId val="224585904"/>
        <c:scaling>
          <c:logBase val="10"/>
          <c:orientation val="maxMin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Sieve Number</a:t>
                </a:r>
              </a:p>
            </c:rich>
          </c:tx>
          <c:layout>
            <c:manualLayout>
              <c:xMode val="edge"/>
              <c:yMode val="edge"/>
              <c:x val="0.35332246177803139"/>
              <c:y val="0.9238428585720496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24651392"/>
        <c:crosses val="autoZero"/>
        <c:auto val="1"/>
        <c:lblAlgn val="ctr"/>
        <c:lblOffset val="100"/>
        <c:noMultiLvlLbl val="1"/>
      </c:catAx>
      <c:valAx>
        <c:axId val="224651392"/>
        <c:scaling>
          <c:orientation val="minMax"/>
          <c:max val="1"/>
          <c:min val="0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Passing(%)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crossAx val="224585904"/>
        <c:crossesAt val="1"/>
        <c:crossBetween val="midCat"/>
      </c:valAx>
    </c:plotArea>
    <c:legend>
      <c:legendPos val="b"/>
      <c:layout>
        <c:manualLayout>
          <c:xMode val="edge"/>
          <c:yMode val="edge"/>
          <c:x val="0.71325449496931415"/>
          <c:y val="0.55615951427831434"/>
          <c:w val="0.1669569688808577"/>
          <c:h val="0.28470190871535017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Mix 10</a:t>
            </a:r>
          </a:p>
        </c:rich>
      </c:tx>
      <c:layout>
        <c:manualLayout>
          <c:xMode val="edge"/>
          <c:yMode val="edge"/>
          <c:x val="0.39340041607147841"/>
          <c:y val="1.181833614081822E-2"/>
        </c:manualLayout>
      </c:layout>
      <c:overlay val="1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title>
    <c:autoTitleDeleted val="0"/>
    <c:plotArea>
      <c:layout>
        <c:manualLayout>
          <c:layoutTarget val="inner"/>
          <c:xMode val="edge"/>
          <c:yMode val="edge"/>
          <c:x val="5.0292346415769476E-2"/>
          <c:y val="2.0936970043233846E-2"/>
          <c:w val="0.71077786200104165"/>
          <c:h val="0.91304929634138343"/>
        </c:manualLayout>
      </c:layout>
      <c:scatterChart>
        <c:scatterStyle val="lineMarker"/>
        <c:varyColors val="0"/>
        <c:ser>
          <c:idx val="1"/>
          <c:order val="0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Sheet5!$BE$59:$BE$62</c:f>
              <c:numCache>
                <c:formatCode>General</c:formatCode>
                <c:ptCount val="4"/>
                <c:pt idx="0">
                  <c:v>12</c:v>
                </c:pt>
                <c:pt idx="1">
                  <c:v>11</c:v>
                </c:pt>
                <c:pt idx="2">
                  <c:v>2</c:v>
                </c:pt>
                <c:pt idx="3">
                  <c:v>1</c:v>
                </c:pt>
              </c:numCache>
            </c:numRef>
          </c:xVal>
          <c:yVal>
            <c:numRef>
              <c:f>Sheet5!$BF$59:$BF$62</c:f>
              <c:numCache>
                <c:formatCode>0%</c:formatCode>
                <c:ptCount val="4"/>
                <c:pt idx="0">
                  <c:v>0</c:v>
                </c:pt>
                <c:pt idx="1">
                  <c:v>0.18</c:v>
                </c:pt>
                <c:pt idx="2">
                  <c:v>0.18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1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Sheet5!$BE$63:$BE$66</c:f>
              <c:numCache>
                <c:formatCode>General</c:formatCode>
                <c:ptCount val="4"/>
                <c:pt idx="0">
                  <c:v>10</c:v>
                </c:pt>
                <c:pt idx="1">
                  <c:v>9</c:v>
                </c:pt>
                <c:pt idx="2">
                  <c:v>4</c:v>
                </c:pt>
                <c:pt idx="3">
                  <c:v>3</c:v>
                </c:pt>
              </c:numCache>
            </c:numRef>
          </c:xVal>
          <c:yVal>
            <c:numRef>
              <c:f>Sheet5!$BF$63:$BF$66</c:f>
              <c:numCache>
                <c:formatCode>0%</c:formatCode>
                <c:ptCount val="4"/>
                <c:pt idx="0">
                  <c:v>0</c:v>
                </c:pt>
                <c:pt idx="1">
                  <c:v>0.08</c:v>
                </c:pt>
                <c:pt idx="2">
                  <c:v>0.08</c:v>
                </c:pt>
                <c:pt idx="3">
                  <c:v>0</c:v>
                </c:pt>
              </c:numCache>
            </c:numRef>
          </c:yVal>
          <c:smooth val="0"/>
        </c:ser>
        <c:ser>
          <c:idx val="0"/>
          <c:order val="2"/>
          <c:marker>
            <c:symbol val="none"/>
          </c:marker>
          <c:xVal>
            <c:strRef>
              <c:f>Sheet5!$H$114:$H$125</c:f>
              <c:strCache>
                <c:ptCount val="12"/>
                <c:pt idx="0">
                  <c:v>1.5</c:v>
                </c:pt>
                <c:pt idx="1">
                  <c:v>1</c:v>
                </c:pt>
                <c:pt idx="2">
                  <c:v>0.75</c:v>
                </c:pt>
                <c:pt idx="3">
                  <c:v>0.5</c:v>
                </c:pt>
                <c:pt idx="4">
                  <c:v>0.375</c:v>
                </c:pt>
                <c:pt idx="5">
                  <c:v>#4</c:v>
                </c:pt>
                <c:pt idx="6">
                  <c:v>#8</c:v>
                </c:pt>
                <c:pt idx="7">
                  <c:v>#16</c:v>
                </c:pt>
                <c:pt idx="8">
                  <c:v>#30</c:v>
                </c:pt>
                <c:pt idx="9">
                  <c:v>#50</c:v>
                </c:pt>
                <c:pt idx="10">
                  <c:v>#100</c:v>
                </c:pt>
                <c:pt idx="11">
                  <c:v>#200</c:v>
                </c:pt>
              </c:strCache>
            </c:strRef>
          </c:xVal>
          <c:yVal>
            <c:numRef>
              <c:f>Sheet5!$J$114:$J$125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422176"/>
        <c:axId val="180421784"/>
      </c:scatterChart>
      <c:valAx>
        <c:axId val="180422176"/>
        <c:scaling>
          <c:orientation val="maxMin"/>
        </c:scaling>
        <c:delete val="0"/>
        <c:axPos val="b"/>
        <c:majorGridlines/>
        <c:numFmt formatCode="@" sourceLinked="0"/>
        <c:majorTickMark val="out"/>
        <c:minorTickMark val="none"/>
        <c:tickLblPos val="none"/>
        <c:crossAx val="180421784"/>
        <c:crosses val="autoZero"/>
        <c:crossBetween val="midCat"/>
      </c:valAx>
      <c:valAx>
        <c:axId val="180421784"/>
        <c:scaling>
          <c:orientation val="minMax"/>
        </c:scaling>
        <c:delete val="0"/>
        <c:axPos val="r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%</a:t>
                </a:r>
                <a:r>
                  <a:rPr lang="en-US" sz="1200" baseline="0"/>
                  <a:t> Retained</a:t>
                </a:r>
                <a:endParaRPr lang="en-US" sz="1200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804221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711" l="0.70000000000000062" r="0.70000000000000062" t="0.750000000000007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Mix 14</a:t>
            </a:r>
          </a:p>
        </c:rich>
      </c:tx>
      <c:layout>
        <c:manualLayout>
          <c:xMode val="edge"/>
          <c:yMode val="edge"/>
          <c:x val="0.39340041607147841"/>
          <c:y val="1.181833614081822E-2"/>
        </c:manualLayout>
      </c:layout>
      <c:overlay val="1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title>
    <c:autoTitleDeleted val="0"/>
    <c:plotArea>
      <c:layout>
        <c:manualLayout>
          <c:layoutTarget val="inner"/>
          <c:xMode val="edge"/>
          <c:yMode val="edge"/>
          <c:x val="5.0292346415769476E-2"/>
          <c:y val="2.0936970043233846E-2"/>
          <c:w val="0.71077786200104165"/>
          <c:h val="0.91304929634138343"/>
        </c:manualLayout>
      </c:layout>
      <c:scatterChart>
        <c:scatterStyle val="lineMarker"/>
        <c:varyColors val="0"/>
        <c:ser>
          <c:idx val="1"/>
          <c:order val="0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Sheet5!$BE$59:$BE$62</c:f>
              <c:numCache>
                <c:formatCode>General</c:formatCode>
                <c:ptCount val="4"/>
                <c:pt idx="0">
                  <c:v>12</c:v>
                </c:pt>
                <c:pt idx="1">
                  <c:v>11</c:v>
                </c:pt>
                <c:pt idx="2">
                  <c:v>2</c:v>
                </c:pt>
                <c:pt idx="3">
                  <c:v>1</c:v>
                </c:pt>
              </c:numCache>
            </c:numRef>
          </c:xVal>
          <c:yVal>
            <c:numRef>
              <c:f>Sheet5!$BF$59:$BF$62</c:f>
              <c:numCache>
                <c:formatCode>0%</c:formatCode>
                <c:ptCount val="4"/>
                <c:pt idx="0">
                  <c:v>0</c:v>
                </c:pt>
                <c:pt idx="1">
                  <c:v>0.18</c:v>
                </c:pt>
                <c:pt idx="2">
                  <c:v>0.18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1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Sheet5!$BE$63:$BE$66</c:f>
              <c:numCache>
                <c:formatCode>General</c:formatCode>
                <c:ptCount val="4"/>
                <c:pt idx="0">
                  <c:v>10</c:v>
                </c:pt>
                <c:pt idx="1">
                  <c:v>9</c:v>
                </c:pt>
                <c:pt idx="2">
                  <c:v>4</c:v>
                </c:pt>
                <c:pt idx="3">
                  <c:v>3</c:v>
                </c:pt>
              </c:numCache>
            </c:numRef>
          </c:xVal>
          <c:yVal>
            <c:numRef>
              <c:f>Sheet5!$BF$63:$BF$66</c:f>
              <c:numCache>
                <c:formatCode>0%</c:formatCode>
                <c:ptCount val="4"/>
                <c:pt idx="0">
                  <c:v>0</c:v>
                </c:pt>
                <c:pt idx="1">
                  <c:v>0.08</c:v>
                </c:pt>
                <c:pt idx="2">
                  <c:v>0.08</c:v>
                </c:pt>
                <c:pt idx="3">
                  <c:v>0</c:v>
                </c:pt>
              </c:numCache>
            </c:numRef>
          </c:yVal>
          <c:smooth val="0"/>
        </c:ser>
        <c:ser>
          <c:idx val="0"/>
          <c:order val="2"/>
          <c:marker>
            <c:symbol val="none"/>
          </c:marker>
          <c:xVal>
            <c:strRef>
              <c:f>Sheet5!$H$141:$H$152</c:f>
              <c:strCache>
                <c:ptCount val="12"/>
                <c:pt idx="0">
                  <c:v>1.5</c:v>
                </c:pt>
                <c:pt idx="1">
                  <c:v>1</c:v>
                </c:pt>
                <c:pt idx="2">
                  <c:v>0.75</c:v>
                </c:pt>
                <c:pt idx="3">
                  <c:v>0.5</c:v>
                </c:pt>
                <c:pt idx="4">
                  <c:v>0.375</c:v>
                </c:pt>
                <c:pt idx="5">
                  <c:v>#4</c:v>
                </c:pt>
                <c:pt idx="6">
                  <c:v>#8</c:v>
                </c:pt>
                <c:pt idx="7">
                  <c:v>#16</c:v>
                </c:pt>
                <c:pt idx="8">
                  <c:v>#30</c:v>
                </c:pt>
                <c:pt idx="9">
                  <c:v>#50</c:v>
                </c:pt>
                <c:pt idx="10">
                  <c:v>#100</c:v>
                </c:pt>
                <c:pt idx="11">
                  <c:v>#200</c:v>
                </c:pt>
              </c:strCache>
            </c:strRef>
          </c:xVal>
          <c:yVal>
            <c:numRef>
              <c:f>Sheet5!$J$141:$J$152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421000"/>
        <c:axId val="180420608"/>
      </c:scatterChart>
      <c:valAx>
        <c:axId val="180421000"/>
        <c:scaling>
          <c:orientation val="maxMin"/>
        </c:scaling>
        <c:delete val="0"/>
        <c:axPos val="b"/>
        <c:majorGridlines/>
        <c:numFmt formatCode="@" sourceLinked="0"/>
        <c:majorTickMark val="out"/>
        <c:minorTickMark val="none"/>
        <c:tickLblPos val="none"/>
        <c:crossAx val="180420608"/>
        <c:crosses val="autoZero"/>
        <c:crossBetween val="midCat"/>
      </c:valAx>
      <c:valAx>
        <c:axId val="180420608"/>
        <c:scaling>
          <c:orientation val="minMax"/>
        </c:scaling>
        <c:delete val="0"/>
        <c:axPos val="r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%</a:t>
                </a:r>
                <a:r>
                  <a:rPr lang="en-US" sz="1200" baseline="0"/>
                  <a:t> Retained</a:t>
                </a:r>
                <a:endParaRPr lang="en-US" sz="1200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804210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711" l="0.70000000000000062" r="0.70000000000000062" t="0.75000000000000711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Mix 15</a:t>
            </a:r>
          </a:p>
        </c:rich>
      </c:tx>
      <c:layout>
        <c:manualLayout>
          <c:xMode val="edge"/>
          <c:yMode val="edge"/>
          <c:x val="0.39340041607147841"/>
          <c:y val="1.181833614081822E-2"/>
        </c:manualLayout>
      </c:layout>
      <c:overlay val="1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title>
    <c:autoTitleDeleted val="0"/>
    <c:plotArea>
      <c:layout>
        <c:manualLayout>
          <c:layoutTarget val="inner"/>
          <c:xMode val="edge"/>
          <c:yMode val="edge"/>
          <c:x val="5.0292346415769476E-2"/>
          <c:y val="2.0936970043233846E-2"/>
          <c:w val="0.71077786200104165"/>
          <c:h val="0.91304929634138343"/>
        </c:manualLayout>
      </c:layout>
      <c:scatterChart>
        <c:scatterStyle val="lineMarker"/>
        <c:varyColors val="0"/>
        <c:ser>
          <c:idx val="1"/>
          <c:order val="0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Sheet5!$BE$59:$BE$62</c:f>
              <c:numCache>
                <c:formatCode>General</c:formatCode>
                <c:ptCount val="4"/>
                <c:pt idx="0">
                  <c:v>12</c:v>
                </c:pt>
                <c:pt idx="1">
                  <c:v>11</c:v>
                </c:pt>
                <c:pt idx="2">
                  <c:v>2</c:v>
                </c:pt>
                <c:pt idx="3">
                  <c:v>1</c:v>
                </c:pt>
              </c:numCache>
            </c:numRef>
          </c:xVal>
          <c:yVal>
            <c:numRef>
              <c:f>Sheet5!$BF$59:$BF$62</c:f>
              <c:numCache>
                <c:formatCode>0%</c:formatCode>
                <c:ptCount val="4"/>
                <c:pt idx="0">
                  <c:v>0</c:v>
                </c:pt>
                <c:pt idx="1">
                  <c:v>0.18</c:v>
                </c:pt>
                <c:pt idx="2">
                  <c:v>0.18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1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Sheet5!$BE$63:$BE$66</c:f>
              <c:numCache>
                <c:formatCode>General</c:formatCode>
                <c:ptCount val="4"/>
                <c:pt idx="0">
                  <c:v>10</c:v>
                </c:pt>
                <c:pt idx="1">
                  <c:v>9</c:v>
                </c:pt>
                <c:pt idx="2">
                  <c:v>4</c:v>
                </c:pt>
                <c:pt idx="3">
                  <c:v>3</c:v>
                </c:pt>
              </c:numCache>
            </c:numRef>
          </c:xVal>
          <c:yVal>
            <c:numRef>
              <c:f>Sheet5!$BF$63:$BF$66</c:f>
              <c:numCache>
                <c:formatCode>0%</c:formatCode>
                <c:ptCount val="4"/>
                <c:pt idx="0">
                  <c:v>0</c:v>
                </c:pt>
                <c:pt idx="1">
                  <c:v>0.08</c:v>
                </c:pt>
                <c:pt idx="2">
                  <c:v>0.08</c:v>
                </c:pt>
                <c:pt idx="3">
                  <c:v>0</c:v>
                </c:pt>
              </c:numCache>
            </c:numRef>
          </c:yVal>
          <c:smooth val="0"/>
        </c:ser>
        <c:ser>
          <c:idx val="0"/>
          <c:order val="2"/>
          <c:marker>
            <c:symbol val="none"/>
          </c:marker>
          <c:xVal>
            <c:strRef>
              <c:f>Sheet5!$H$169:$H$180</c:f>
              <c:strCache>
                <c:ptCount val="12"/>
                <c:pt idx="0">
                  <c:v>1.5</c:v>
                </c:pt>
                <c:pt idx="1">
                  <c:v>1</c:v>
                </c:pt>
                <c:pt idx="2">
                  <c:v>0.75</c:v>
                </c:pt>
                <c:pt idx="3">
                  <c:v>0.5</c:v>
                </c:pt>
                <c:pt idx="4">
                  <c:v>0.375</c:v>
                </c:pt>
                <c:pt idx="5">
                  <c:v>#4</c:v>
                </c:pt>
                <c:pt idx="6">
                  <c:v>#8</c:v>
                </c:pt>
                <c:pt idx="7">
                  <c:v>#16</c:v>
                </c:pt>
                <c:pt idx="8">
                  <c:v>#30</c:v>
                </c:pt>
                <c:pt idx="9">
                  <c:v>#50</c:v>
                </c:pt>
                <c:pt idx="10">
                  <c:v>#100</c:v>
                </c:pt>
                <c:pt idx="11">
                  <c:v>#200</c:v>
                </c:pt>
              </c:strCache>
            </c:strRef>
          </c:xVal>
          <c:yVal>
            <c:numRef>
              <c:f>Sheet5!$J$169:$J$180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054976"/>
        <c:axId val="226055368"/>
      </c:scatterChart>
      <c:valAx>
        <c:axId val="226054976"/>
        <c:scaling>
          <c:orientation val="maxMin"/>
        </c:scaling>
        <c:delete val="0"/>
        <c:axPos val="b"/>
        <c:majorGridlines/>
        <c:numFmt formatCode="@" sourceLinked="0"/>
        <c:majorTickMark val="out"/>
        <c:minorTickMark val="none"/>
        <c:tickLblPos val="none"/>
        <c:crossAx val="226055368"/>
        <c:crosses val="autoZero"/>
        <c:crossBetween val="midCat"/>
      </c:valAx>
      <c:valAx>
        <c:axId val="226055368"/>
        <c:scaling>
          <c:orientation val="minMax"/>
        </c:scaling>
        <c:delete val="0"/>
        <c:axPos val="r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%</a:t>
                </a:r>
                <a:r>
                  <a:rPr lang="en-US" sz="1200" baseline="0"/>
                  <a:t> Retained</a:t>
                </a:r>
                <a:endParaRPr lang="en-US" sz="1200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2260549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711" l="0.70000000000000062" r="0.70000000000000062" t="0.75000000000000711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Mix 17</a:t>
            </a:r>
          </a:p>
        </c:rich>
      </c:tx>
      <c:layout>
        <c:manualLayout>
          <c:xMode val="edge"/>
          <c:yMode val="edge"/>
          <c:x val="0.39873380245196116"/>
          <c:y val="8.5262283072542536E-3"/>
        </c:manualLayout>
      </c:layout>
      <c:overlay val="1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title>
    <c:autoTitleDeleted val="0"/>
    <c:plotArea>
      <c:layout>
        <c:manualLayout>
          <c:layoutTarget val="inner"/>
          <c:xMode val="edge"/>
          <c:yMode val="edge"/>
          <c:x val="5.0292346415769476E-2"/>
          <c:y val="2.0936970043233846E-2"/>
          <c:w val="0.71077786200104165"/>
          <c:h val="0.91304929634138343"/>
        </c:manualLayout>
      </c:layout>
      <c:scatterChart>
        <c:scatterStyle val="lineMarker"/>
        <c:varyColors val="0"/>
        <c:ser>
          <c:idx val="1"/>
          <c:order val="0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Sheet5!$BE$59:$BE$62</c:f>
              <c:numCache>
                <c:formatCode>General</c:formatCode>
                <c:ptCount val="4"/>
                <c:pt idx="0">
                  <c:v>12</c:v>
                </c:pt>
                <c:pt idx="1">
                  <c:v>11</c:v>
                </c:pt>
                <c:pt idx="2">
                  <c:v>2</c:v>
                </c:pt>
                <c:pt idx="3">
                  <c:v>1</c:v>
                </c:pt>
              </c:numCache>
            </c:numRef>
          </c:xVal>
          <c:yVal>
            <c:numRef>
              <c:f>Sheet5!$BF$59:$BF$62</c:f>
              <c:numCache>
                <c:formatCode>0%</c:formatCode>
                <c:ptCount val="4"/>
                <c:pt idx="0">
                  <c:v>0</c:v>
                </c:pt>
                <c:pt idx="1">
                  <c:v>0.18</c:v>
                </c:pt>
                <c:pt idx="2">
                  <c:v>0.18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1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Sheet5!$BE$63:$BE$66</c:f>
              <c:numCache>
                <c:formatCode>General</c:formatCode>
                <c:ptCount val="4"/>
                <c:pt idx="0">
                  <c:v>10</c:v>
                </c:pt>
                <c:pt idx="1">
                  <c:v>9</c:v>
                </c:pt>
                <c:pt idx="2">
                  <c:v>4</c:v>
                </c:pt>
                <c:pt idx="3">
                  <c:v>3</c:v>
                </c:pt>
              </c:numCache>
            </c:numRef>
          </c:xVal>
          <c:yVal>
            <c:numRef>
              <c:f>Sheet5!$BF$63:$BF$66</c:f>
              <c:numCache>
                <c:formatCode>0%</c:formatCode>
                <c:ptCount val="4"/>
                <c:pt idx="0">
                  <c:v>0</c:v>
                </c:pt>
                <c:pt idx="1">
                  <c:v>0.08</c:v>
                </c:pt>
                <c:pt idx="2">
                  <c:v>0.08</c:v>
                </c:pt>
                <c:pt idx="3">
                  <c:v>0</c:v>
                </c:pt>
              </c:numCache>
            </c:numRef>
          </c:yVal>
          <c:smooth val="0"/>
        </c:ser>
        <c:ser>
          <c:idx val="0"/>
          <c:order val="2"/>
          <c:marker>
            <c:symbol val="none"/>
          </c:marker>
          <c:xVal>
            <c:strRef>
              <c:f>Sheet5!$H$198:$H$209</c:f>
              <c:strCache>
                <c:ptCount val="12"/>
                <c:pt idx="0">
                  <c:v>1.5</c:v>
                </c:pt>
                <c:pt idx="1">
                  <c:v>1</c:v>
                </c:pt>
                <c:pt idx="2">
                  <c:v>0.75</c:v>
                </c:pt>
                <c:pt idx="3">
                  <c:v>0.5</c:v>
                </c:pt>
                <c:pt idx="4">
                  <c:v>0.375</c:v>
                </c:pt>
                <c:pt idx="5">
                  <c:v>#4</c:v>
                </c:pt>
                <c:pt idx="6">
                  <c:v>#8</c:v>
                </c:pt>
                <c:pt idx="7">
                  <c:v>#16</c:v>
                </c:pt>
                <c:pt idx="8">
                  <c:v>#30</c:v>
                </c:pt>
                <c:pt idx="9">
                  <c:v>#50</c:v>
                </c:pt>
                <c:pt idx="10">
                  <c:v>#100</c:v>
                </c:pt>
                <c:pt idx="11">
                  <c:v>#200</c:v>
                </c:pt>
              </c:strCache>
            </c:strRef>
          </c:xVal>
          <c:yVal>
            <c:numRef>
              <c:f>Sheet5!$J$198:$J$209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056152"/>
        <c:axId val="226056544"/>
      </c:scatterChart>
      <c:valAx>
        <c:axId val="226056152"/>
        <c:scaling>
          <c:orientation val="maxMin"/>
        </c:scaling>
        <c:delete val="0"/>
        <c:axPos val="b"/>
        <c:majorGridlines/>
        <c:numFmt formatCode="@" sourceLinked="0"/>
        <c:majorTickMark val="out"/>
        <c:minorTickMark val="none"/>
        <c:tickLblPos val="none"/>
        <c:crossAx val="226056544"/>
        <c:crosses val="autoZero"/>
        <c:crossBetween val="midCat"/>
      </c:valAx>
      <c:valAx>
        <c:axId val="226056544"/>
        <c:scaling>
          <c:orientation val="minMax"/>
        </c:scaling>
        <c:delete val="0"/>
        <c:axPos val="r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%</a:t>
                </a:r>
                <a:r>
                  <a:rPr lang="en-US" sz="1200" baseline="0"/>
                  <a:t> Retained</a:t>
                </a:r>
                <a:endParaRPr lang="en-US" sz="1200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2260561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711" l="0.70000000000000062" r="0.70000000000000062" t="0.75000000000000711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Mix</a:t>
            </a:r>
            <a:r>
              <a:rPr lang="en-US" baseline="0"/>
              <a:t> 2</a:t>
            </a:r>
            <a:endParaRPr lang="en-US"/>
          </a:p>
        </c:rich>
      </c:tx>
      <c:layout>
        <c:manualLayout>
          <c:xMode val="edge"/>
          <c:yMode val="edge"/>
          <c:x val="0.38211895483675923"/>
          <c:y val="2.8368786405096769E-2"/>
        </c:manualLayout>
      </c:layout>
      <c:overlay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title>
    <c:autoTitleDeleted val="0"/>
    <c:plotArea>
      <c:layout>
        <c:manualLayout>
          <c:layoutTarget val="inner"/>
          <c:xMode val="edge"/>
          <c:yMode val="edge"/>
          <c:x val="7.1310374459421191E-2"/>
          <c:y val="4.7209987076488526E-2"/>
          <c:w val="0.67990883536009505"/>
          <c:h val="0.86756713103169758"/>
        </c:manualLayout>
      </c:layout>
      <c:scatterChart>
        <c:scatterStyle val="lineMarker"/>
        <c:varyColors val="0"/>
        <c:ser>
          <c:idx val="1"/>
          <c:order val="0"/>
          <c:tx>
            <c:v>Max Density Line</c:v>
          </c:tx>
          <c:marker>
            <c:symbol val="none"/>
          </c:marker>
          <c:xVal>
            <c:numRef>
              <c:f>Sheet5!$L$63:$L$64</c:f>
              <c:numCache>
                <c:formatCode>General</c:formatCode>
                <c:ptCount val="2"/>
                <c:pt idx="0" formatCode="0.00">
                  <c:v>95.295634032720628</c:v>
                </c:pt>
                <c:pt idx="1">
                  <c:v>0</c:v>
                </c:pt>
              </c:numCache>
            </c:numRef>
          </c:xVal>
          <c:yVal>
            <c:numRef>
              <c:f>Sheet5!$M$63:$M$64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High Density Line</c:v>
          </c:tx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Sheet5!$L$67:$L$68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84.224631674288489</c:v>
                </c:pt>
              </c:numCache>
            </c:numRef>
          </c:xVal>
          <c:yVal>
            <c:numRef>
              <c:f>Sheet5!$M$67:$M$68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v>Low Density Line</c:v>
          </c:tx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Sheet5!$L$71:$L$72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114.37051336098466</c:v>
                </c:pt>
              </c:numCache>
            </c:numRef>
          </c:xVal>
          <c:yVal>
            <c:numRef>
              <c:f>Sheet5!$M$71:$M$72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0"/>
          <c:order val="3"/>
          <c:tx>
            <c:v>Combined</c:v>
          </c:tx>
          <c:marker>
            <c:symbol val="none"/>
          </c:marker>
          <c:xVal>
            <c:numRef>
              <c:f>Sheet5!$E$59:$E$70</c:f>
              <c:numCache>
                <c:formatCode>0.00</c:formatCode>
                <c:ptCount val="12"/>
                <c:pt idx="0">
                  <c:v>114.37051336098466</c:v>
                </c:pt>
                <c:pt idx="1">
                  <c:v>95.295634032720628</c:v>
                </c:pt>
                <c:pt idx="2">
                  <c:v>84.224631674288489</c:v>
                </c:pt>
                <c:pt idx="3">
                  <c:v>69.760487336687731</c:v>
                </c:pt>
                <c:pt idx="4">
                  <c:v>61.656039240307337</c:v>
                </c:pt>
                <c:pt idx="5">
                  <c:v>45.134862560198059</c:v>
                </c:pt>
                <c:pt idx="6">
                  <c:v>32.946584684146316</c:v>
                </c:pt>
                <c:pt idx="7">
                  <c:v>24.11831168315992</c:v>
                </c:pt>
                <c:pt idx="8">
                  <c:v>17.789676992918196</c:v>
                </c:pt>
                <c:pt idx="9">
                  <c:v>13.02280581041226</c:v>
                </c:pt>
                <c:pt idx="10">
                  <c:v>9.533251854051084</c:v>
                </c:pt>
                <c:pt idx="11">
                  <c:v>6.9787488376816533</c:v>
                </c:pt>
              </c:numCache>
            </c:numRef>
          </c:xVal>
          <c:yVal>
            <c:numRef>
              <c:f>Sheet5!$I$61:$I$72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057328"/>
        <c:axId val="226057720"/>
      </c:scatterChart>
      <c:valAx>
        <c:axId val="226057328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(d/D)^.45</a:t>
                </a:r>
              </a:p>
            </c:rich>
          </c:tx>
          <c:layout>
            <c:manualLayout>
              <c:xMode val="edge"/>
              <c:yMode val="edge"/>
              <c:x val="0.80271047969538301"/>
              <c:y val="0.93377113393820765"/>
            </c:manualLayout>
          </c:layout>
          <c:overlay val="0"/>
        </c:title>
        <c:numFmt formatCode="0.00" sourceLinked="1"/>
        <c:majorTickMark val="out"/>
        <c:minorTickMark val="none"/>
        <c:tickLblPos val="none"/>
        <c:crossAx val="226057720"/>
        <c:crosses val="autoZero"/>
        <c:crossBetween val="midCat"/>
      </c:valAx>
      <c:valAx>
        <c:axId val="226057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% Passing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2260573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711" l="0.70000000000000062" r="0.70000000000000062" t="0.75000000000000711" header="0.30000000000000032" footer="0.30000000000000032"/>
    <c:pageSetup orientation="portrait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Mix</a:t>
            </a:r>
            <a:r>
              <a:rPr lang="en-US" baseline="0"/>
              <a:t> 7</a:t>
            </a:r>
            <a:endParaRPr lang="en-US"/>
          </a:p>
        </c:rich>
      </c:tx>
      <c:layout>
        <c:manualLayout>
          <c:xMode val="edge"/>
          <c:yMode val="edge"/>
          <c:x val="0.38211895483675923"/>
          <c:y val="2.8368786405096769E-2"/>
        </c:manualLayout>
      </c:layout>
      <c:overlay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title>
    <c:autoTitleDeleted val="0"/>
    <c:plotArea>
      <c:layout>
        <c:manualLayout>
          <c:layoutTarget val="inner"/>
          <c:xMode val="edge"/>
          <c:yMode val="edge"/>
          <c:x val="7.1310374459421191E-2"/>
          <c:y val="4.7209987076488526E-2"/>
          <c:w val="0.67990883536009505"/>
          <c:h val="0.86756713103169758"/>
        </c:manualLayout>
      </c:layout>
      <c:scatterChart>
        <c:scatterStyle val="lineMarker"/>
        <c:varyColors val="0"/>
        <c:ser>
          <c:idx val="1"/>
          <c:order val="0"/>
          <c:tx>
            <c:v>Max Density Line</c:v>
          </c:tx>
          <c:marker>
            <c:symbol val="none"/>
          </c:marker>
          <c:xVal>
            <c:numRef>
              <c:f>Sheet5!$L$63:$L$64</c:f>
              <c:numCache>
                <c:formatCode>General</c:formatCode>
                <c:ptCount val="2"/>
                <c:pt idx="0" formatCode="0.00">
                  <c:v>95.295634032720628</c:v>
                </c:pt>
                <c:pt idx="1">
                  <c:v>0</c:v>
                </c:pt>
              </c:numCache>
            </c:numRef>
          </c:xVal>
          <c:yVal>
            <c:numRef>
              <c:f>Sheet5!$M$63:$M$64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High Density Line</c:v>
          </c:tx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Sheet5!$L$67:$L$68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84.224631674288489</c:v>
                </c:pt>
              </c:numCache>
            </c:numRef>
          </c:xVal>
          <c:yVal>
            <c:numRef>
              <c:f>Sheet5!$M$67:$M$68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v>Low Density Line</c:v>
          </c:tx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Sheet5!$L$71:$L$72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114.37051336098466</c:v>
                </c:pt>
              </c:numCache>
            </c:numRef>
          </c:xVal>
          <c:yVal>
            <c:numRef>
              <c:f>Sheet5!$M$71:$M$72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0"/>
          <c:order val="3"/>
          <c:tx>
            <c:v>Combined</c:v>
          </c:tx>
          <c:marker>
            <c:symbol val="none"/>
          </c:marker>
          <c:xVal>
            <c:numRef>
              <c:f>Sheet5!$E$59:$E$70</c:f>
              <c:numCache>
                <c:formatCode>0.00</c:formatCode>
                <c:ptCount val="12"/>
                <c:pt idx="0">
                  <c:v>114.37051336098466</c:v>
                </c:pt>
                <c:pt idx="1">
                  <c:v>95.295634032720628</c:v>
                </c:pt>
                <c:pt idx="2">
                  <c:v>84.224631674288489</c:v>
                </c:pt>
                <c:pt idx="3">
                  <c:v>69.760487336687731</c:v>
                </c:pt>
                <c:pt idx="4">
                  <c:v>61.656039240307337</c:v>
                </c:pt>
                <c:pt idx="5">
                  <c:v>45.134862560198059</c:v>
                </c:pt>
                <c:pt idx="6">
                  <c:v>32.946584684146316</c:v>
                </c:pt>
                <c:pt idx="7">
                  <c:v>24.11831168315992</c:v>
                </c:pt>
                <c:pt idx="8">
                  <c:v>17.789676992918196</c:v>
                </c:pt>
                <c:pt idx="9">
                  <c:v>13.02280581041226</c:v>
                </c:pt>
                <c:pt idx="10">
                  <c:v>9.533251854051084</c:v>
                </c:pt>
                <c:pt idx="11">
                  <c:v>6.9787488376816533</c:v>
                </c:pt>
              </c:numCache>
            </c:numRef>
          </c:xVal>
          <c:yVal>
            <c:numRef>
              <c:f>Sheet5!$I$87:$I$98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058504"/>
        <c:axId val="226058896"/>
      </c:scatterChart>
      <c:valAx>
        <c:axId val="226058504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(d/D)^.45</a:t>
                </a:r>
              </a:p>
            </c:rich>
          </c:tx>
          <c:layout>
            <c:manualLayout>
              <c:xMode val="edge"/>
              <c:yMode val="edge"/>
              <c:x val="0.80271047969538301"/>
              <c:y val="0.93377113393820765"/>
            </c:manualLayout>
          </c:layout>
          <c:overlay val="0"/>
        </c:title>
        <c:numFmt formatCode="0.00" sourceLinked="1"/>
        <c:majorTickMark val="out"/>
        <c:minorTickMark val="none"/>
        <c:tickLblPos val="none"/>
        <c:crossAx val="226058896"/>
        <c:crosses val="autoZero"/>
        <c:crossBetween val="midCat"/>
      </c:valAx>
      <c:valAx>
        <c:axId val="2260588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% Passing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2260585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711" l="0.70000000000000062" r="0.70000000000000062" t="0.75000000000000711" header="0.30000000000000032" footer="0.30000000000000032"/>
    <c:pageSetup orientation="portrait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Mix</a:t>
            </a:r>
            <a:r>
              <a:rPr lang="en-US" baseline="0"/>
              <a:t> 10</a:t>
            </a:r>
            <a:endParaRPr lang="en-US"/>
          </a:p>
        </c:rich>
      </c:tx>
      <c:layout>
        <c:manualLayout>
          <c:xMode val="edge"/>
          <c:yMode val="edge"/>
          <c:x val="0.38211895483675923"/>
          <c:y val="2.8368786405096769E-2"/>
        </c:manualLayout>
      </c:layout>
      <c:overlay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title>
    <c:autoTitleDeleted val="0"/>
    <c:plotArea>
      <c:layout>
        <c:manualLayout>
          <c:layoutTarget val="inner"/>
          <c:xMode val="edge"/>
          <c:yMode val="edge"/>
          <c:x val="7.1310374459421191E-2"/>
          <c:y val="4.7209987076488526E-2"/>
          <c:w val="0.67990883536009505"/>
          <c:h val="0.86756713103169758"/>
        </c:manualLayout>
      </c:layout>
      <c:scatterChart>
        <c:scatterStyle val="lineMarker"/>
        <c:varyColors val="0"/>
        <c:ser>
          <c:idx val="1"/>
          <c:order val="0"/>
          <c:tx>
            <c:v>Max Density Line</c:v>
          </c:tx>
          <c:marker>
            <c:symbol val="none"/>
          </c:marker>
          <c:xVal>
            <c:numRef>
              <c:f>Sheet5!$L$63:$L$64</c:f>
              <c:numCache>
                <c:formatCode>General</c:formatCode>
                <c:ptCount val="2"/>
                <c:pt idx="0" formatCode="0.00">
                  <c:v>95.295634032720628</c:v>
                </c:pt>
                <c:pt idx="1">
                  <c:v>0</c:v>
                </c:pt>
              </c:numCache>
            </c:numRef>
          </c:xVal>
          <c:yVal>
            <c:numRef>
              <c:f>Sheet5!$M$63:$M$64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High Density Line</c:v>
          </c:tx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Sheet5!$L$67:$L$68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84.224631674288489</c:v>
                </c:pt>
              </c:numCache>
            </c:numRef>
          </c:xVal>
          <c:yVal>
            <c:numRef>
              <c:f>Sheet5!$M$67:$M$68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v>Low Density Line</c:v>
          </c:tx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Sheet5!$L$71:$L$72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114.37051336098466</c:v>
                </c:pt>
              </c:numCache>
            </c:numRef>
          </c:xVal>
          <c:yVal>
            <c:numRef>
              <c:f>Sheet5!$M$71:$M$72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0"/>
          <c:order val="3"/>
          <c:tx>
            <c:v>Combined</c:v>
          </c:tx>
          <c:marker>
            <c:symbol val="none"/>
          </c:marker>
          <c:xVal>
            <c:numRef>
              <c:f>Sheet5!$E$59:$E$70</c:f>
              <c:numCache>
                <c:formatCode>0.00</c:formatCode>
                <c:ptCount val="12"/>
                <c:pt idx="0">
                  <c:v>114.37051336098466</c:v>
                </c:pt>
                <c:pt idx="1">
                  <c:v>95.295634032720628</c:v>
                </c:pt>
                <c:pt idx="2">
                  <c:v>84.224631674288489</c:v>
                </c:pt>
                <c:pt idx="3">
                  <c:v>69.760487336687731</c:v>
                </c:pt>
                <c:pt idx="4">
                  <c:v>61.656039240307337</c:v>
                </c:pt>
                <c:pt idx="5">
                  <c:v>45.134862560198059</c:v>
                </c:pt>
                <c:pt idx="6">
                  <c:v>32.946584684146316</c:v>
                </c:pt>
                <c:pt idx="7">
                  <c:v>24.11831168315992</c:v>
                </c:pt>
                <c:pt idx="8">
                  <c:v>17.789676992918196</c:v>
                </c:pt>
                <c:pt idx="9">
                  <c:v>13.02280581041226</c:v>
                </c:pt>
                <c:pt idx="10">
                  <c:v>9.533251854051084</c:v>
                </c:pt>
                <c:pt idx="11">
                  <c:v>6.9787488376816533</c:v>
                </c:pt>
              </c:numCache>
            </c:numRef>
          </c:xVal>
          <c:yVal>
            <c:numRef>
              <c:f>Sheet5!$I$114:$I$125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059680"/>
        <c:axId val="226060072"/>
      </c:scatterChart>
      <c:valAx>
        <c:axId val="226059680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(d/D)^.45</a:t>
                </a:r>
              </a:p>
            </c:rich>
          </c:tx>
          <c:layout>
            <c:manualLayout>
              <c:xMode val="edge"/>
              <c:yMode val="edge"/>
              <c:x val="0.80271047969538301"/>
              <c:y val="0.93377113393820765"/>
            </c:manualLayout>
          </c:layout>
          <c:overlay val="0"/>
        </c:title>
        <c:numFmt formatCode="0.00" sourceLinked="1"/>
        <c:majorTickMark val="out"/>
        <c:minorTickMark val="none"/>
        <c:tickLblPos val="none"/>
        <c:crossAx val="226060072"/>
        <c:crosses val="autoZero"/>
        <c:crossBetween val="midCat"/>
      </c:valAx>
      <c:valAx>
        <c:axId val="226060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% Passing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2260596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711" l="0.70000000000000062" r="0.70000000000000062" t="0.75000000000000711" header="0.30000000000000032" footer="0.30000000000000032"/>
    <c:pageSetup orientation="portrait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Mix</a:t>
            </a:r>
            <a:r>
              <a:rPr lang="en-US" baseline="0"/>
              <a:t> 14</a:t>
            </a:r>
            <a:endParaRPr lang="en-US"/>
          </a:p>
        </c:rich>
      </c:tx>
      <c:layout>
        <c:manualLayout>
          <c:xMode val="edge"/>
          <c:yMode val="edge"/>
          <c:x val="0.38211895483675923"/>
          <c:y val="2.8368786405096769E-2"/>
        </c:manualLayout>
      </c:layout>
      <c:overlay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title>
    <c:autoTitleDeleted val="0"/>
    <c:plotArea>
      <c:layout>
        <c:manualLayout>
          <c:layoutTarget val="inner"/>
          <c:xMode val="edge"/>
          <c:yMode val="edge"/>
          <c:x val="7.1310374459421191E-2"/>
          <c:y val="4.7209987076488526E-2"/>
          <c:w val="0.67990883536009505"/>
          <c:h val="0.86756713103169758"/>
        </c:manualLayout>
      </c:layout>
      <c:scatterChart>
        <c:scatterStyle val="lineMarker"/>
        <c:varyColors val="0"/>
        <c:ser>
          <c:idx val="1"/>
          <c:order val="0"/>
          <c:tx>
            <c:v>Max Density Line</c:v>
          </c:tx>
          <c:marker>
            <c:symbol val="none"/>
          </c:marker>
          <c:xVal>
            <c:numRef>
              <c:f>Sheet5!$L$63:$L$64</c:f>
              <c:numCache>
                <c:formatCode>General</c:formatCode>
                <c:ptCount val="2"/>
                <c:pt idx="0" formatCode="0.00">
                  <c:v>95.295634032720628</c:v>
                </c:pt>
                <c:pt idx="1">
                  <c:v>0</c:v>
                </c:pt>
              </c:numCache>
            </c:numRef>
          </c:xVal>
          <c:yVal>
            <c:numRef>
              <c:f>Sheet5!$M$63:$M$64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High Density Line</c:v>
          </c:tx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Sheet5!$L$67:$L$68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84.224631674288489</c:v>
                </c:pt>
              </c:numCache>
            </c:numRef>
          </c:xVal>
          <c:yVal>
            <c:numRef>
              <c:f>Sheet5!$M$67:$M$68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v>Low Density Line</c:v>
          </c:tx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Sheet5!$L$71:$L$72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114.37051336098466</c:v>
                </c:pt>
              </c:numCache>
            </c:numRef>
          </c:xVal>
          <c:yVal>
            <c:numRef>
              <c:f>Sheet5!$M$71:$M$72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0"/>
          <c:order val="3"/>
          <c:tx>
            <c:v>Combined</c:v>
          </c:tx>
          <c:marker>
            <c:symbol val="none"/>
          </c:marker>
          <c:xVal>
            <c:numRef>
              <c:f>Sheet5!$E$59:$E$70</c:f>
              <c:numCache>
                <c:formatCode>0.00</c:formatCode>
                <c:ptCount val="12"/>
                <c:pt idx="0">
                  <c:v>114.37051336098466</c:v>
                </c:pt>
                <c:pt idx="1">
                  <c:v>95.295634032720628</c:v>
                </c:pt>
                <c:pt idx="2">
                  <c:v>84.224631674288489</c:v>
                </c:pt>
                <c:pt idx="3">
                  <c:v>69.760487336687731</c:v>
                </c:pt>
                <c:pt idx="4">
                  <c:v>61.656039240307337</c:v>
                </c:pt>
                <c:pt idx="5">
                  <c:v>45.134862560198059</c:v>
                </c:pt>
                <c:pt idx="6">
                  <c:v>32.946584684146316</c:v>
                </c:pt>
                <c:pt idx="7">
                  <c:v>24.11831168315992</c:v>
                </c:pt>
                <c:pt idx="8">
                  <c:v>17.789676992918196</c:v>
                </c:pt>
                <c:pt idx="9">
                  <c:v>13.02280581041226</c:v>
                </c:pt>
                <c:pt idx="10">
                  <c:v>9.533251854051084</c:v>
                </c:pt>
                <c:pt idx="11">
                  <c:v>6.9787488376816533</c:v>
                </c:pt>
              </c:numCache>
            </c:numRef>
          </c:xVal>
          <c:yVal>
            <c:numRef>
              <c:f>Sheet5!$I$141:$I$152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060856"/>
        <c:axId val="226061248"/>
      </c:scatterChart>
      <c:valAx>
        <c:axId val="226060856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(d/D)^.45</a:t>
                </a:r>
              </a:p>
            </c:rich>
          </c:tx>
          <c:layout>
            <c:manualLayout>
              <c:xMode val="edge"/>
              <c:yMode val="edge"/>
              <c:x val="0.80271047969538301"/>
              <c:y val="0.93377113393820765"/>
            </c:manualLayout>
          </c:layout>
          <c:overlay val="0"/>
        </c:title>
        <c:numFmt formatCode="0.00" sourceLinked="1"/>
        <c:majorTickMark val="out"/>
        <c:minorTickMark val="none"/>
        <c:tickLblPos val="none"/>
        <c:crossAx val="226061248"/>
        <c:crosses val="autoZero"/>
        <c:crossBetween val="midCat"/>
      </c:valAx>
      <c:valAx>
        <c:axId val="226061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% Passing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2260608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711" l="0.70000000000000062" r="0.70000000000000062" t="0.75000000000000711" header="0.30000000000000032" footer="0.30000000000000032"/>
    <c:pageSetup orientation="portrait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Mix</a:t>
            </a:r>
            <a:r>
              <a:rPr lang="en-US" baseline="0"/>
              <a:t> 15</a:t>
            </a:r>
            <a:endParaRPr lang="en-US"/>
          </a:p>
        </c:rich>
      </c:tx>
      <c:layout>
        <c:manualLayout>
          <c:xMode val="edge"/>
          <c:yMode val="edge"/>
          <c:x val="0.38211895483675923"/>
          <c:y val="2.8368786405096769E-2"/>
        </c:manualLayout>
      </c:layout>
      <c:overlay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title>
    <c:autoTitleDeleted val="0"/>
    <c:plotArea>
      <c:layout>
        <c:manualLayout>
          <c:layoutTarget val="inner"/>
          <c:xMode val="edge"/>
          <c:yMode val="edge"/>
          <c:x val="7.1310374459421191E-2"/>
          <c:y val="4.7209987076488526E-2"/>
          <c:w val="0.67990883536009505"/>
          <c:h val="0.86756713103169758"/>
        </c:manualLayout>
      </c:layout>
      <c:scatterChart>
        <c:scatterStyle val="lineMarker"/>
        <c:varyColors val="0"/>
        <c:ser>
          <c:idx val="1"/>
          <c:order val="0"/>
          <c:tx>
            <c:v>Max Density Line</c:v>
          </c:tx>
          <c:marker>
            <c:symbol val="none"/>
          </c:marker>
          <c:xVal>
            <c:numRef>
              <c:f>Sheet5!$L$63:$L$64</c:f>
              <c:numCache>
                <c:formatCode>General</c:formatCode>
                <c:ptCount val="2"/>
                <c:pt idx="0" formatCode="0.00">
                  <c:v>95.295634032720628</c:v>
                </c:pt>
                <c:pt idx="1">
                  <c:v>0</c:v>
                </c:pt>
              </c:numCache>
            </c:numRef>
          </c:xVal>
          <c:yVal>
            <c:numRef>
              <c:f>Sheet5!$M$63:$M$64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High Density Line</c:v>
          </c:tx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Sheet5!$L$67:$L$68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84.224631674288489</c:v>
                </c:pt>
              </c:numCache>
            </c:numRef>
          </c:xVal>
          <c:yVal>
            <c:numRef>
              <c:f>Sheet5!$M$67:$M$68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v>Low Density Line</c:v>
          </c:tx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Sheet5!$L$71:$L$72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114.37051336098466</c:v>
                </c:pt>
              </c:numCache>
            </c:numRef>
          </c:xVal>
          <c:yVal>
            <c:numRef>
              <c:f>Sheet5!$M$71:$M$72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0"/>
          <c:order val="3"/>
          <c:tx>
            <c:v>Combined</c:v>
          </c:tx>
          <c:marker>
            <c:symbol val="none"/>
          </c:marker>
          <c:xVal>
            <c:numRef>
              <c:f>Sheet5!$E$59:$E$70</c:f>
              <c:numCache>
                <c:formatCode>0.00</c:formatCode>
                <c:ptCount val="12"/>
                <c:pt idx="0">
                  <c:v>114.37051336098466</c:v>
                </c:pt>
                <c:pt idx="1">
                  <c:v>95.295634032720628</c:v>
                </c:pt>
                <c:pt idx="2">
                  <c:v>84.224631674288489</c:v>
                </c:pt>
                <c:pt idx="3">
                  <c:v>69.760487336687731</c:v>
                </c:pt>
                <c:pt idx="4">
                  <c:v>61.656039240307337</c:v>
                </c:pt>
                <c:pt idx="5">
                  <c:v>45.134862560198059</c:v>
                </c:pt>
                <c:pt idx="6">
                  <c:v>32.946584684146316</c:v>
                </c:pt>
                <c:pt idx="7">
                  <c:v>24.11831168315992</c:v>
                </c:pt>
                <c:pt idx="8">
                  <c:v>17.789676992918196</c:v>
                </c:pt>
                <c:pt idx="9">
                  <c:v>13.02280581041226</c:v>
                </c:pt>
                <c:pt idx="10">
                  <c:v>9.533251854051084</c:v>
                </c:pt>
                <c:pt idx="11">
                  <c:v>6.9787488376816533</c:v>
                </c:pt>
              </c:numCache>
            </c:numRef>
          </c:xVal>
          <c:yVal>
            <c:numRef>
              <c:f>Sheet5!$I$169:$I$180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740136"/>
        <c:axId val="226740528"/>
      </c:scatterChart>
      <c:valAx>
        <c:axId val="226740136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(d/D)^.45</a:t>
                </a:r>
              </a:p>
            </c:rich>
          </c:tx>
          <c:layout>
            <c:manualLayout>
              <c:xMode val="edge"/>
              <c:yMode val="edge"/>
              <c:x val="0.80271047969538301"/>
              <c:y val="0.93377113393820765"/>
            </c:manualLayout>
          </c:layout>
          <c:overlay val="0"/>
        </c:title>
        <c:numFmt formatCode="0.00" sourceLinked="1"/>
        <c:majorTickMark val="out"/>
        <c:minorTickMark val="none"/>
        <c:tickLblPos val="none"/>
        <c:crossAx val="226740528"/>
        <c:crosses val="autoZero"/>
        <c:crossBetween val="midCat"/>
      </c:valAx>
      <c:valAx>
        <c:axId val="226740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% Passing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2267401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711" l="0.70000000000000062" r="0.70000000000000062" t="0.75000000000000711" header="0.30000000000000032" footer="0.30000000000000032"/>
    <c:pageSetup orientation="portrait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Mix</a:t>
            </a:r>
            <a:r>
              <a:rPr lang="en-US" baseline="0"/>
              <a:t> 17</a:t>
            </a:r>
            <a:endParaRPr lang="en-US"/>
          </a:p>
        </c:rich>
      </c:tx>
      <c:layout>
        <c:manualLayout>
          <c:xMode val="edge"/>
          <c:yMode val="edge"/>
          <c:x val="0.38211895483675923"/>
          <c:y val="2.8368786405096769E-2"/>
        </c:manualLayout>
      </c:layout>
      <c:overlay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title>
    <c:autoTitleDeleted val="0"/>
    <c:plotArea>
      <c:layout>
        <c:manualLayout>
          <c:layoutTarget val="inner"/>
          <c:xMode val="edge"/>
          <c:yMode val="edge"/>
          <c:x val="7.1310374459421191E-2"/>
          <c:y val="4.7209987076488526E-2"/>
          <c:w val="0.67990883536009505"/>
          <c:h val="0.86756713103169758"/>
        </c:manualLayout>
      </c:layout>
      <c:scatterChart>
        <c:scatterStyle val="lineMarker"/>
        <c:varyColors val="0"/>
        <c:ser>
          <c:idx val="1"/>
          <c:order val="0"/>
          <c:tx>
            <c:v>Max Density Line</c:v>
          </c:tx>
          <c:marker>
            <c:symbol val="none"/>
          </c:marker>
          <c:xVal>
            <c:numRef>
              <c:f>Sheet5!$L$63:$L$64</c:f>
              <c:numCache>
                <c:formatCode>General</c:formatCode>
                <c:ptCount val="2"/>
                <c:pt idx="0" formatCode="0.00">
                  <c:v>95.295634032720628</c:v>
                </c:pt>
                <c:pt idx="1">
                  <c:v>0</c:v>
                </c:pt>
              </c:numCache>
            </c:numRef>
          </c:xVal>
          <c:yVal>
            <c:numRef>
              <c:f>Sheet5!$M$63:$M$64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High Density Line</c:v>
          </c:tx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Sheet5!$L$67:$L$68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84.224631674288489</c:v>
                </c:pt>
              </c:numCache>
            </c:numRef>
          </c:xVal>
          <c:yVal>
            <c:numRef>
              <c:f>Sheet5!$M$67:$M$68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v>Low Density Line</c:v>
          </c:tx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Sheet5!$L$71:$L$72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114.37051336098466</c:v>
                </c:pt>
              </c:numCache>
            </c:numRef>
          </c:xVal>
          <c:yVal>
            <c:numRef>
              <c:f>Sheet5!$M$71:$M$72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0"/>
          <c:order val="3"/>
          <c:tx>
            <c:v>Combined</c:v>
          </c:tx>
          <c:marker>
            <c:symbol val="none"/>
          </c:marker>
          <c:xVal>
            <c:numRef>
              <c:f>Sheet5!$E$59:$E$70</c:f>
              <c:numCache>
                <c:formatCode>0.00</c:formatCode>
                <c:ptCount val="12"/>
                <c:pt idx="0">
                  <c:v>114.37051336098466</c:v>
                </c:pt>
                <c:pt idx="1">
                  <c:v>95.295634032720628</c:v>
                </c:pt>
                <c:pt idx="2">
                  <c:v>84.224631674288489</c:v>
                </c:pt>
                <c:pt idx="3">
                  <c:v>69.760487336687731</c:v>
                </c:pt>
                <c:pt idx="4">
                  <c:v>61.656039240307337</c:v>
                </c:pt>
                <c:pt idx="5">
                  <c:v>45.134862560198059</c:v>
                </c:pt>
                <c:pt idx="6">
                  <c:v>32.946584684146316</c:v>
                </c:pt>
                <c:pt idx="7">
                  <c:v>24.11831168315992</c:v>
                </c:pt>
                <c:pt idx="8">
                  <c:v>17.789676992918196</c:v>
                </c:pt>
                <c:pt idx="9">
                  <c:v>13.02280581041226</c:v>
                </c:pt>
                <c:pt idx="10">
                  <c:v>9.533251854051084</c:v>
                </c:pt>
                <c:pt idx="11">
                  <c:v>6.9787488376816533</c:v>
                </c:pt>
              </c:numCache>
            </c:numRef>
          </c:xVal>
          <c:yVal>
            <c:numRef>
              <c:f>Sheet5!$I$198:$I$209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741312"/>
        <c:axId val="226741704"/>
      </c:scatterChart>
      <c:valAx>
        <c:axId val="226741312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(d/D)^.45</a:t>
                </a:r>
              </a:p>
            </c:rich>
          </c:tx>
          <c:layout>
            <c:manualLayout>
              <c:xMode val="edge"/>
              <c:yMode val="edge"/>
              <c:x val="0.80271047969538301"/>
              <c:y val="0.93377113393820765"/>
            </c:manualLayout>
          </c:layout>
          <c:overlay val="0"/>
        </c:title>
        <c:numFmt formatCode="0.00" sourceLinked="1"/>
        <c:majorTickMark val="out"/>
        <c:minorTickMark val="none"/>
        <c:tickLblPos val="none"/>
        <c:crossAx val="226741704"/>
        <c:crosses val="autoZero"/>
        <c:crossBetween val="midCat"/>
      </c:valAx>
      <c:valAx>
        <c:axId val="226741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% Passing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2267413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711" l="0.70000000000000062" r="0.70000000000000062" t="0.75000000000000711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412158384488947E-2"/>
          <c:y val="4.5948866201750753E-2"/>
          <c:w val="0.83939300918832815"/>
          <c:h val="0.81331780764951789"/>
        </c:manualLayout>
      </c:layout>
      <c:lineChart>
        <c:grouping val="standard"/>
        <c:varyColors val="0"/>
        <c:ser>
          <c:idx val="0"/>
          <c:order val="0"/>
          <c:tx>
            <c:v>Combined Gradation</c:v>
          </c:tx>
          <c:spPr>
            <a:ln w="381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'Mix Design'!$B$37:$B$48</c:f>
              <c:strCache>
                <c:ptCount val="12"/>
                <c:pt idx="0">
                  <c:v>1.5"</c:v>
                </c:pt>
                <c:pt idx="1">
                  <c:v>1"</c:v>
                </c:pt>
                <c:pt idx="2">
                  <c:v>3/4"</c:v>
                </c:pt>
                <c:pt idx="3">
                  <c:v>1/2"</c:v>
                </c:pt>
                <c:pt idx="4">
                  <c:v>3/8"</c:v>
                </c:pt>
                <c:pt idx="5">
                  <c:v>#4</c:v>
                </c:pt>
                <c:pt idx="6">
                  <c:v>#8</c:v>
                </c:pt>
                <c:pt idx="7">
                  <c:v>#16</c:v>
                </c:pt>
                <c:pt idx="8">
                  <c:v>#30</c:v>
                </c:pt>
                <c:pt idx="9">
                  <c:v>#50</c:v>
                </c:pt>
                <c:pt idx="10">
                  <c:v>#100</c:v>
                </c:pt>
                <c:pt idx="11">
                  <c:v>#200</c:v>
                </c:pt>
              </c:strCache>
            </c:strRef>
          </c:cat>
          <c:val>
            <c:numRef>
              <c:f>'Mix Design'!$D$37:$D$48</c:f>
              <c:numCache>
                <c:formatCode>0.00%</c:formatCode>
                <c:ptCount val="12"/>
                <c:pt idx="0">
                  <c:v>0</c:v>
                </c:pt>
                <c:pt idx="1">
                  <c:v>2.9247488253252629E-2</c:v>
                </c:pt>
                <c:pt idx="2">
                  <c:v>0.16743516211036413</c:v>
                </c:pt>
                <c:pt idx="3">
                  <c:v>0.15104271147130044</c:v>
                </c:pt>
                <c:pt idx="4">
                  <c:v>7.6970181828952433E-2</c:v>
                </c:pt>
                <c:pt idx="5">
                  <c:v>0.14278719058691353</c:v>
                </c:pt>
                <c:pt idx="6">
                  <c:v>8.4961700388793748E-2</c:v>
                </c:pt>
                <c:pt idx="7">
                  <c:v>6.551474817304126E-2</c:v>
                </c:pt>
                <c:pt idx="8">
                  <c:v>0.10569969356617423</c:v>
                </c:pt>
                <c:pt idx="9">
                  <c:v>0.1187153374588181</c:v>
                </c:pt>
                <c:pt idx="10">
                  <c:v>4.6581385288129294E-2</c:v>
                </c:pt>
                <c:pt idx="11">
                  <c:v>1.1044400874260169E-2</c:v>
                </c:pt>
              </c:numCache>
            </c:numRef>
          </c:val>
          <c:smooth val="0"/>
        </c:ser>
        <c:ser>
          <c:idx val="1"/>
          <c:order val="1"/>
          <c:tx>
            <c:v>Maximum Boundary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lgDash"/>
            </a:ln>
          </c:spPr>
          <c:marker>
            <c:symbol val="none"/>
          </c:marker>
          <c:cat>
            <c:strRef>
              <c:f>'Mix Design'!$B$37:$B$48</c:f>
              <c:strCache>
                <c:ptCount val="12"/>
                <c:pt idx="0">
                  <c:v>1.5"</c:v>
                </c:pt>
                <c:pt idx="1">
                  <c:v>1"</c:v>
                </c:pt>
                <c:pt idx="2">
                  <c:v>3/4"</c:v>
                </c:pt>
                <c:pt idx="3">
                  <c:v>1/2"</c:v>
                </c:pt>
                <c:pt idx="4">
                  <c:v>3/8"</c:v>
                </c:pt>
                <c:pt idx="5">
                  <c:v>#4</c:v>
                </c:pt>
                <c:pt idx="6">
                  <c:v>#8</c:v>
                </c:pt>
                <c:pt idx="7">
                  <c:v>#16</c:v>
                </c:pt>
                <c:pt idx="8">
                  <c:v>#30</c:v>
                </c:pt>
                <c:pt idx="9">
                  <c:v>#50</c:v>
                </c:pt>
                <c:pt idx="10">
                  <c:v>#100</c:v>
                </c:pt>
                <c:pt idx="11">
                  <c:v>#200</c:v>
                </c:pt>
              </c:strCache>
            </c:strRef>
          </c:cat>
          <c:val>
            <c:numRef>
              <c:f>'Mix Design'!$E$37:$E$48</c:f>
              <c:numCache>
                <c:formatCode>0.00%</c:formatCode>
                <c:ptCount val="12"/>
                <c:pt idx="0">
                  <c:v>0</c:v>
                </c:pt>
                <c:pt idx="1">
                  <c:v>0.16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0.12</c:v>
                </c:pt>
                <c:pt idx="7">
                  <c:v>0.12</c:v>
                </c:pt>
                <c:pt idx="8">
                  <c:v>0.2</c:v>
                </c:pt>
                <c:pt idx="9">
                  <c:v>0.2</c:v>
                </c:pt>
                <c:pt idx="10">
                  <c:v>0.1</c:v>
                </c:pt>
                <c:pt idx="11">
                  <c:v>0.02</c:v>
                </c:pt>
              </c:numCache>
            </c:numRef>
          </c:val>
          <c:smooth val="0"/>
        </c:ser>
        <c:ser>
          <c:idx val="2"/>
          <c:order val="2"/>
          <c:tx>
            <c:v>Minimum Boundary</c:v>
          </c:tx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  <a:prstDash val="lgDash"/>
            </a:ln>
          </c:spPr>
          <c:marker>
            <c:symbol val="none"/>
          </c:marker>
          <c:dPt>
            <c:idx val="1"/>
            <c:bubble3D val="0"/>
            <c:spPr>
              <a:ln>
                <a:noFill/>
                <a:prstDash val="lgDash"/>
              </a:ln>
            </c:spPr>
          </c:dPt>
          <c:dPt>
            <c:idx val="2"/>
            <c:bubble3D val="0"/>
            <c:spPr>
              <a:ln>
                <a:noFill/>
                <a:prstDash val="lgDash"/>
              </a:ln>
            </c:spPr>
          </c:dPt>
          <c:dPt>
            <c:idx val="7"/>
            <c:bubble3D val="0"/>
            <c:spPr>
              <a:ln>
                <a:noFill/>
                <a:prstDash val="lgDash"/>
              </a:ln>
            </c:spPr>
          </c:dPt>
          <c:dPt>
            <c:idx val="11"/>
            <c:bubble3D val="0"/>
            <c:spPr>
              <a:ln>
                <a:noFill/>
                <a:prstDash val="lgDash"/>
              </a:ln>
            </c:spPr>
          </c:dPt>
          <c:cat>
            <c:strRef>
              <c:f>'Mix Design'!$B$37:$B$48</c:f>
              <c:strCache>
                <c:ptCount val="12"/>
                <c:pt idx="0">
                  <c:v>1.5"</c:v>
                </c:pt>
                <c:pt idx="1">
                  <c:v>1"</c:v>
                </c:pt>
                <c:pt idx="2">
                  <c:v>3/4"</c:v>
                </c:pt>
                <c:pt idx="3">
                  <c:v>1/2"</c:v>
                </c:pt>
                <c:pt idx="4">
                  <c:v>3/8"</c:v>
                </c:pt>
                <c:pt idx="5">
                  <c:v>#4</c:v>
                </c:pt>
                <c:pt idx="6">
                  <c:v>#8</c:v>
                </c:pt>
                <c:pt idx="7">
                  <c:v>#16</c:v>
                </c:pt>
                <c:pt idx="8">
                  <c:v>#30</c:v>
                </c:pt>
                <c:pt idx="9">
                  <c:v>#50</c:v>
                </c:pt>
                <c:pt idx="10">
                  <c:v>#100</c:v>
                </c:pt>
                <c:pt idx="11">
                  <c:v>#200</c:v>
                </c:pt>
              </c:strCache>
            </c:strRef>
          </c:cat>
          <c:val>
            <c:numRef>
              <c:f>'Mix Design'!$F$37:$F$48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0.04</c:v>
                </c:pt>
                <c:pt idx="4">
                  <c:v>0.04</c:v>
                </c:pt>
                <c:pt idx="5">
                  <c:v>0.04</c:v>
                </c:pt>
                <c:pt idx="6">
                  <c:v>0</c:v>
                </c:pt>
                <c:pt idx="7">
                  <c:v>0</c:v>
                </c:pt>
                <c:pt idx="8">
                  <c:v>0.04</c:v>
                </c:pt>
                <c:pt idx="9">
                  <c:v>0.04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53064"/>
        <c:axId val="224857544"/>
      </c:lineChart>
      <c:catAx>
        <c:axId val="22485306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crossAx val="224857544"/>
        <c:crosses val="autoZero"/>
        <c:auto val="1"/>
        <c:lblAlgn val="ctr"/>
        <c:lblOffset val="100"/>
        <c:noMultiLvlLbl val="0"/>
      </c:catAx>
      <c:valAx>
        <c:axId val="2248575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Retained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crossAx val="224853064"/>
        <c:crosses val="max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cat>
            <c:numRef>
              <c:f>Sheet3!$BA$28:$BA$41</c:f>
              <c:numCache>
                <c:formatCode>0.00%</c:formatCode>
                <c:ptCount val="14"/>
                <c:pt idx="0">
                  <c:v>0.52746843688890843</c:v>
                </c:pt>
                <c:pt idx="1">
                  <c:v>0.54342120395432714</c:v>
                </c:pt>
                <c:pt idx="2">
                  <c:v>0.54680540434311609</c:v>
                </c:pt>
                <c:pt idx="3">
                  <c:v>0.55856166329815216</c:v>
                </c:pt>
                <c:pt idx="4">
                  <c:v>0.56253188891860884</c:v>
                </c:pt>
                <c:pt idx="5">
                  <c:v>0.5677676230218065</c:v>
                </c:pt>
                <c:pt idx="6">
                  <c:v>0.57763635880680286</c:v>
                </c:pt>
                <c:pt idx="7">
                  <c:v>0.58313792558127309</c:v>
                </c:pt>
                <c:pt idx="8">
                  <c:v>0.5978902457411267</c:v>
                </c:pt>
                <c:pt idx="9">
                  <c:v>0.73659006348867362</c:v>
                </c:pt>
                <c:pt idx="10">
                  <c:v>0.74077833774877022</c:v>
                </c:pt>
                <c:pt idx="11">
                  <c:v>0.74515480021471081</c:v>
                </c:pt>
                <c:pt idx="12">
                  <c:v>0.74938810217856811</c:v>
                </c:pt>
                <c:pt idx="13">
                  <c:v>0.75295277138654582</c:v>
                </c:pt>
              </c:numCache>
            </c:numRef>
          </c:cat>
          <c:val>
            <c:numRef>
              <c:f>Sheet3!$AX$28:$AX$41</c:f>
              <c:numCache>
                <c:formatCode>0.00</c:formatCode>
                <c:ptCount val="14"/>
                <c:pt idx="0">
                  <c:v>130.16</c:v>
                </c:pt>
                <c:pt idx="1">
                  <c:v>131.49333333333334</c:v>
                </c:pt>
                <c:pt idx="2">
                  <c:v>135.62666666666669</c:v>
                </c:pt>
                <c:pt idx="3">
                  <c:v>132.02666666666667</c:v>
                </c:pt>
                <c:pt idx="4">
                  <c:v>131.09333333333333</c:v>
                </c:pt>
                <c:pt idx="5">
                  <c:v>134.69333333333336</c:v>
                </c:pt>
                <c:pt idx="6">
                  <c:v>133.65333333333334</c:v>
                </c:pt>
                <c:pt idx="7">
                  <c:v>132.48000000000002</c:v>
                </c:pt>
                <c:pt idx="8">
                  <c:v>136.08000000000001</c:v>
                </c:pt>
                <c:pt idx="9">
                  <c:v>135.76000000000002</c:v>
                </c:pt>
                <c:pt idx="10">
                  <c:v>135.22666666666669</c:v>
                </c:pt>
                <c:pt idx="11">
                  <c:v>136.66666666666666</c:v>
                </c:pt>
                <c:pt idx="12">
                  <c:v>133.81333333333333</c:v>
                </c:pt>
                <c:pt idx="13">
                  <c:v>133.14666666666668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43272"/>
        <c:axId val="226743664"/>
      </c:lineChart>
      <c:catAx>
        <c:axId val="226743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 F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226743664"/>
        <c:crosses val="autoZero"/>
        <c:auto val="1"/>
        <c:lblAlgn val="ctr"/>
        <c:lblOffset val="100"/>
        <c:noMultiLvlLbl val="0"/>
      </c:catAx>
      <c:valAx>
        <c:axId val="226743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Dry Pot Unit Wt. (b/cu ft)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2674327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55313278148149"/>
          <c:y val="2.8057561770295954E-2"/>
          <c:w val="0.74368396258160063"/>
          <c:h val="0.7528243279934933"/>
        </c:manualLayout>
      </c:layout>
      <c:lineChart>
        <c:grouping val="stacked"/>
        <c:varyColors val="0"/>
        <c:ser>
          <c:idx val="0"/>
          <c:order val="0"/>
          <c:cat>
            <c:numRef>
              <c:f>Sheet3!$BB$48:$BB$61</c:f>
              <c:numCache>
                <c:formatCode>0.00%</c:formatCode>
                <c:ptCount val="14"/>
                <c:pt idx="0">
                  <c:v>0.26675413378132928</c:v>
                </c:pt>
                <c:pt idx="1">
                  <c:v>0.29085126239152748</c:v>
                </c:pt>
                <c:pt idx="2">
                  <c:v>0.29428456752433269</c:v>
                </c:pt>
                <c:pt idx="3">
                  <c:v>0.31386306587748147</c:v>
                </c:pt>
                <c:pt idx="4">
                  <c:v>0.3145504720942503</c:v>
                </c:pt>
                <c:pt idx="5">
                  <c:v>0.31721412851042335</c:v>
                </c:pt>
                <c:pt idx="6">
                  <c:v>0.31976115336472843</c:v>
                </c:pt>
                <c:pt idx="7">
                  <c:v>0.32543108998437797</c:v>
                </c:pt>
                <c:pt idx="8">
                  <c:v>0.33865453823070957</c:v>
                </c:pt>
                <c:pt idx="9">
                  <c:v>0.34141559127621851</c:v>
                </c:pt>
                <c:pt idx="10">
                  <c:v>0.34304397478921717</c:v>
                </c:pt>
                <c:pt idx="11">
                  <c:v>0.35177161802683821</c:v>
                </c:pt>
                <c:pt idx="12">
                  <c:v>0.36382878719076445</c:v>
                </c:pt>
                <c:pt idx="13">
                  <c:v>0.36725178047191565</c:v>
                </c:pt>
              </c:numCache>
            </c:numRef>
          </c:cat>
          <c:val>
            <c:numRef>
              <c:f>Sheet3!$AX$48:$AX$61</c:f>
              <c:numCache>
                <c:formatCode>0.00</c:formatCode>
                <c:ptCount val="14"/>
                <c:pt idx="0">
                  <c:v>132.02666666666667</c:v>
                </c:pt>
                <c:pt idx="1">
                  <c:v>133.65333333333334</c:v>
                </c:pt>
                <c:pt idx="2">
                  <c:v>131.49333333333334</c:v>
                </c:pt>
                <c:pt idx="3">
                  <c:v>133.14666666666668</c:v>
                </c:pt>
                <c:pt idx="4">
                  <c:v>136.08000000000001</c:v>
                </c:pt>
                <c:pt idx="5">
                  <c:v>131.09333333333333</c:v>
                </c:pt>
                <c:pt idx="6">
                  <c:v>130.16</c:v>
                </c:pt>
                <c:pt idx="7">
                  <c:v>133.81333333333333</c:v>
                </c:pt>
                <c:pt idx="8">
                  <c:v>136.66666666666666</c:v>
                </c:pt>
                <c:pt idx="9">
                  <c:v>132.48000000000002</c:v>
                </c:pt>
                <c:pt idx="10">
                  <c:v>135.62666666666669</c:v>
                </c:pt>
                <c:pt idx="11">
                  <c:v>135.22666666666669</c:v>
                </c:pt>
                <c:pt idx="12">
                  <c:v>135.76000000000002</c:v>
                </c:pt>
                <c:pt idx="13">
                  <c:v>134.69333333333336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44448"/>
        <c:axId val="226744840"/>
      </c:lineChart>
      <c:catAx>
        <c:axId val="226744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 F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226744840"/>
        <c:crosses val="autoZero"/>
        <c:auto val="1"/>
        <c:lblAlgn val="ctr"/>
        <c:lblOffset val="100"/>
        <c:noMultiLvlLbl val="0"/>
      </c:catAx>
      <c:valAx>
        <c:axId val="2267448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Dry Pot Unit Wt.(b/cu ft)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2674444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CF</c:v>
          </c:tx>
          <c:cat>
            <c:numRef>
              <c:f>Sheet3!$AX$65:$AX$78</c:f>
              <c:numCache>
                <c:formatCode>0.00</c:formatCode>
                <c:ptCount val="14"/>
                <c:pt idx="0">
                  <c:v>130.16</c:v>
                </c:pt>
                <c:pt idx="1">
                  <c:v>131.09333333333333</c:v>
                </c:pt>
                <c:pt idx="2">
                  <c:v>131.49333333333334</c:v>
                </c:pt>
                <c:pt idx="3">
                  <c:v>132.02666666666667</c:v>
                </c:pt>
                <c:pt idx="4">
                  <c:v>132.48000000000002</c:v>
                </c:pt>
                <c:pt idx="5">
                  <c:v>133.14666666666668</c:v>
                </c:pt>
                <c:pt idx="6">
                  <c:v>133.65333333333334</c:v>
                </c:pt>
                <c:pt idx="7">
                  <c:v>133.81333333333333</c:v>
                </c:pt>
                <c:pt idx="8">
                  <c:v>134.69333333333336</c:v>
                </c:pt>
                <c:pt idx="9">
                  <c:v>135.22666666666669</c:v>
                </c:pt>
                <c:pt idx="10">
                  <c:v>135.62666666666669</c:v>
                </c:pt>
                <c:pt idx="11">
                  <c:v>135.76000000000002</c:v>
                </c:pt>
                <c:pt idx="12">
                  <c:v>136.08000000000001</c:v>
                </c:pt>
                <c:pt idx="13">
                  <c:v>136.66666666666666</c:v>
                </c:pt>
              </c:numCache>
            </c:numRef>
          </c:cat>
          <c:val>
            <c:numRef>
              <c:f>Sheet3!$BA$65:$BA$78</c:f>
              <c:numCache>
                <c:formatCode>0.00%</c:formatCode>
                <c:ptCount val="14"/>
                <c:pt idx="0">
                  <c:v>0.52746843688890843</c:v>
                </c:pt>
                <c:pt idx="1">
                  <c:v>0.56253188891860884</c:v>
                </c:pt>
                <c:pt idx="2">
                  <c:v>0.54342120395432714</c:v>
                </c:pt>
                <c:pt idx="3">
                  <c:v>0.55856166329815216</c:v>
                </c:pt>
                <c:pt idx="4">
                  <c:v>0.58313792558127309</c:v>
                </c:pt>
                <c:pt idx="5">
                  <c:v>0.75295277138654582</c:v>
                </c:pt>
                <c:pt idx="6">
                  <c:v>0.57763635880680286</c:v>
                </c:pt>
                <c:pt idx="7">
                  <c:v>0.74938810217856811</c:v>
                </c:pt>
                <c:pt idx="8">
                  <c:v>0.5677676230218065</c:v>
                </c:pt>
                <c:pt idx="9">
                  <c:v>0.74077833774877022</c:v>
                </c:pt>
                <c:pt idx="10">
                  <c:v>0.54680540434311609</c:v>
                </c:pt>
                <c:pt idx="11">
                  <c:v>0.73659006348867362</c:v>
                </c:pt>
                <c:pt idx="12">
                  <c:v>0.5978902457411267</c:v>
                </c:pt>
                <c:pt idx="13">
                  <c:v>0.74515480021471081</c:v>
                </c:pt>
              </c:numCache>
            </c:numRef>
          </c:val>
          <c:smooth val="0"/>
        </c:ser>
        <c:ser>
          <c:idx val="1"/>
          <c:order val="1"/>
          <c:tx>
            <c:v>WF</c:v>
          </c:tx>
          <c:cat>
            <c:numRef>
              <c:f>Sheet3!$AX$65:$AX$78</c:f>
              <c:numCache>
                <c:formatCode>0.00</c:formatCode>
                <c:ptCount val="14"/>
                <c:pt idx="0">
                  <c:v>130.16</c:v>
                </c:pt>
                <c:pt idx="1">
                  <c:v>131.09333333333333</c:v>
                </c:pt>
                <c:pt idx="2">
                  <c:v>131.49333333333334</c:v>
                </c:pt>
                <c:pt idx="3">
                  <c:v>132.02666666666667</c:v>
                </c:pt>
                <c:pt idx="4">
                  <c:v>132.48000000000002</c:v>
                </c:pt>
                <c:pt idx="5">
                  <c:v>133.14666666666668</c:v>
                </c:pt>
                <c:pt idx="6">
                  <c:v>133.65333333333334</c:v>
                </c:pt>
                <c:pt idx="7">
                  <c:v>133.81333333333333</c:v>
                </c:pt>
                <c:pt idx="8">
                  <c:v>134.69333333333336</c:v>
                </c:pt>
                <c:pt idx="9">
                  <c:v>135.22666666666669</c:v>
                </c:pt>
                <c:pt idx="10">
                  <c:v>135.62666666666669</c:v>
                </c:pt>
                <c:pt idx="11">
                  <c:v>135.76000000000002</c:v>
                </c:pt>
                <c:pt idx="12">
                  <c:v>136.08000000000001</c:v>
                </c:pt>
                <c:pt idx="13">
                  <c:v>136.66666666666666</c:v>
                </c:pt>
              </c:numCache>
            </c:numRef>
          </c:cat>
          <c:val>
            <c:numRef>
              <c:f>Sheet3!$BB$65:$BB$78</c:f>
              <c:numCache>
                <c:formatCode>0.00%</c:formatCode>
                <c:ptCount val="14"/>
                <c:pt idx="0">
                  <c:v>0.31976115336472843</c:v>
                </c:pt>
                <c:pt idx="1">
                  <c:v>0.31721412851042335</c:v>
                </c:pt>
                <c:pt idx="2">
                  <c:v>0.29428456752433269</c:v>
                </c:pt>
                <c:pt idx="3">
                  <c:v>0.26675413378132928</c:v>
                </c:pt>
                <c:pt idx="4">
                  <c:v>0.34141559127621851</c:v>
                </c:pt>
                <c:pt idx="5">
                  <c:v>0.31386306587748147</c:v>
                </c:pt>
                <c:pt idx="6">
                  <c:v>0.29085126239152748</c:v>
                </c:pt>
                <c:pt idx="7">
                  <c:v>0.32543108998437797</c:v>
                </c:pt>
                <c:pt idx="8">
                  <c:v>0.36725178047191565</c:v>
                </c:pt>
                <c:pt idx="9">
                  <c:v>0.35177161802683821</c:v>
                </c:pt>
                <c:pt idx="10">
                  <c:v>0.34304397478921717</c:v>
                </c:pt>
                <c:pt idx="11">
                  <c:v>0.36382878719076445</c:v>
                </c:pt>
                <c:pt idx="12">
                  <c:v>0.3145504720942503</c:v>
                </c:pt>
                <c:pt idx="13">
                  <c:v>0.33865453823070957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45624"/>
        <c:axId val="226746016"/>
      </c:lineChart>
      <c:catAx>
        <c:axId val="226745624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crossAx val="226746016"/>
        <c:crosses val="autoZero"/>
        <c:auto val="1"/>
        <c:lblAlgn val="ctr"/>
        <c:lblOffset val="100"/>
        <c:noMultiLvlLbl val="0"/>
      </c:catAx>
      <c:valAx>
        <c:axId val="226746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CF &amp; WF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2267456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Void Ratio in Shilstone Box</a:t>
            </a:r>
          </a:p>
        </c:rich>
      </c:tx>
      <c:layout>
        <c:manualLayout>
          <c:xMode val="edge"/>
          <c:yMode val="edge"/>
          <c:x val="0.66301361194554465"/>
          <c:y val="9.888747695221076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82757783932591"/>
          <c:y val="2.8680742429528221E-2"/>
          <c:w val="0.72444881889763779"/>
          <c:h val="0.8523566414880416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Sheet3!$CF$19:$CF$32</c:f>
              <c:numCache>
                <c:formatCode>0.00%</c:formatCode>
                <c:ptCount val="14"/>
                <c:pt idx="0">
                  <c:v>0.55856166329815216</c:v>
                </c:pt>
                <c:pt idx="1">
                  <c:v>0.57763635880680286</c:v>
                </c:pt>
                <c:pt idx="2">
                  <c:v>0.54342120395432714</c:v>
                </c:pt>
                <c:pt idx="3">
                  <c:v>0.56253188891860884</c:v>
                </c:pt>
                <c:pt idx="4">
                  <c:v>0.52746843688890843</c:v>
                </c:pt>
                <c:pt idx="5">
                  <c:v>0.58313792558127309</c:v>
                </c:pt>
                <c:pt idx="6">
                  <c:v>0.54680540434311609</c:v>
                </c:pt>
                <c:pt idx="7">
                  <c:v>0.5677676230218065</c:v>
                </c:pt>
                <c:pt idx="8">
                  <c:v>0.5978902457411267</c:v>
                </c:pt>
                <c:pt idx="9">
                  <c:v>0.75295277138654582</c:v>
                </c:pt>
                <c:pt idx="10">
                  <c:v>0.74938810217856811</c:v>
                </c:pt>
                <c:pt idx="11">
                  <c:v>0.74515480021471081</c:v>
                </c:pt>
                <c:pt idx="12">
                  <c:v>0.74077833774877022</c:v>
                </c:pt>
                <c:pt idx="13">
                  <c:v>0.73659006348867362</c:v>
                </c:pt>
              </c:numCache>
            </c:numRef>
          </c:xVal>
          <c:yVal>
            <c:numRef>
              <c:f>Sheet3!$CG$19:$CG$32</c:f>
              <c:numCache>
                <c:formatCode>0.00%</c:formatCode>
                <c:ptCount val="14"/>
                <c:pt idx="0">
                  <c:v>0.26675413378132928</c:v>
                </c:pt>
                <c:pt idx="1">
                  <c:v>0.29085126239152748</c:v>
                </c:pt>
                <c:pt idx="2">
                  <c:v>0.29428456752433269</c:v>
                </c:pt>
                <c:pt idx="3">
                  <c:v>0.31721412851042335</c:v>
                </c:pt>
                <c:pt idx="4">
                  <c:v>0.31976115336472843</c:v>
                </c:pt>
                <c:pt idx="5">
                  <c:v>0.34141559127621851</c:v>
                </c:pt>
                <c:pt idx="6">
                  <c:v>0.34304397478921717</c:v>
                </c:pt>
                <c:pt idx="7">
                  <c:v>0.36725178047191565</c:v>
                </c:pt>
                <c:pt idx="8">
                  <c:v>0.3145504720942503</c:v>
                </c:pt>
                <c:pt idx="9">
                  <c:v>0.31386306587748147</c:v>
                </c:pt>
                <c:pt idx="10">
                  <c:v>0.32543108998437797</c:v>
                </c:pt>
                <c:pt idx="11">
                  <c:v>0.33865453823070957</c:v>
                </c:pt>
                <c:pt idx="12">
                  <c:v>0.35177161802683821</c:v>
                </c:pt>
                <c:pt idx="13">
                  <c:v>0.36382878719076445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747192"/>
        <c:axId val="246866032"/>
      </c:scatterChart>
      <c:valAx>
        <c:axId val="226747192"/>
        <c:scaling>
          <c:orientation val="minMax"/>
          <c:min val="0.4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Coarsness Factor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246866032"/>
        <c:crosses val="autoZero"/>
        <c:crossBetween val="midCat"/>
      </c:valAx>
      <c:valAx>
        <c:axId val="246866032"/>
        <c:scaling>
          <c:orientation val="minMax"/>
          <c:min val="0.2400000000000002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Workability Factor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226747192"/>
        <c:crosses val="autoZero"/>
        <c:crossBetween val="midCat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MIX 10</a:t>
            </a:r>
          </a:p>
        </c:rich>
      </c:tx>
      <c:layout>
        <c:manualLayout>
          <c:xMode val="edge"/>
          <c:yMode val="edge"/>
          <c:x val="0.87277454614078442"/>
          <c:y val="0.13240954580446726"/>
        </c:manualLayout>
      </c:layout>
      <c:overlay val="1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</c:spPr>
    </c:title>
    <c:autoTitleDeleted val="0"/>
    <c:plotArea>
      <c:layout>
        <c:manualLayout>
          <c:layoutTarget val="inner"/>
          <c:xMode val="edge"/>
          <c:yMode val="edge"/>
          <c:x val="0.10749892117202289"/>
          <c:y val="2.0849957265734412E-2"/>
          <c:w val="0.75074051661455687"/>
          <c:h val="0.84329678189763213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Sheet5!$G$47:$G$48</c:f>
              <c:numCache>
                <c:formatCode>0%</c:formatCode>
                <c:ptCount val="2"/>
                <c:pt idx="0">
                  <c:v>0.8</c:v>
                </c:pt>
                <c:pt idx="1">
                  <c:v>0.3</c:v>
                </c:pt>
              </c:numCache>
            </c:numRef>
          </c:xVal>
          <c:yVal>
            <c:numRef>
              <c:f>Sheet5!$H$47:$H$48</c:f>
              <c:numCache>
                <c:formatCode>0%</c:formatCode>
                <c:ptCount val="2"/>
                <c:pt idx="0" formatCode="0.0%">
                  <c:v>0.26500000000000001</c:v>
                </c:pt>
                <c:pt idx="1">
                  <c:v>0.35</c:v>
                </c:pt>
              </c:numCache>
            </c:numRef>
          </c:yVal>
          <c:smooth val="0"/>
        </c:ser>
        <c:ser>
          <c:idx val="1"/>
          <c:order val="1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Sheet5!$G$49:$G$50</c:f>
              <c:numCache>
                <c:formatCode>0.00%</c:formatCode>
                <c:ptCount val="2"/>
                <c:pt idx="0" formatCode="0%">
                  <c:v>0.8</c:v>
                </c:pt>
                <c:pt idx="1">
                  <c:v>0.3</c:v>
                </c:pt>
              </c:numCache>
            </c:numRef>
          </c:xVal>
          <c:yVal>
            <c:numRef>
              <c:f>Sheet5!$H$49:$H$50</c:f>
              <c:numCache>
                <c:formatCode>0.00%</c:formatCode>
                <c:ptCount val="2"/>
                <c:pt idx="0" formatCode="0%">
                  <c:v>0.38</c:v>
                </c:pt>
                <c:pt idx="1">
                  <c:v>0.46500000000000002</c:v>
                </c:pt>
              </c:numCache>
            </c:numRef>
          </c:yVal>
          <c:smooth val="0"/>
        </c:ser>
        <c:ser>
          <c:idx val="2"/>
          <c:order val="2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Sheet5!$G$51:$G$52</c:f>
              <c:numCache>
                <c:formatCode>0.00%</c:formatCode>
                <c:ptCount val="2"/>
                <c:pt idx="0">
                  <c:v>0.75</c:v>
                </c:pt>
                <c:pt idx="1">
                  <c:v>0.75</c:v>
                </c:pt>
              </c:numCache>
            </c:numRef>
          </c:xVal>
          <c:yVal>
            <c:numRef>
              <c:f>Sheet5!$H$51:$H$52</c:f>
              <c:numCache>
                <c:formatCode>0.00%</c:formatCode>
                <c:ptCount val="2"/>
                <c:pt idx="0">
                  <c:v>0.27350000000000002</c:v>
                </c:pt>
                <c:pt idx="1">
                  <c:v>0.38850000000000001</c:v>
                </c:pt>
              </c:numCache>
            </c:numRef>
          </c:yVal>
          <c:smooth val="0"/>
        </c:ser>
        <c:ser>
          <c:idx val="3"/>
          <c:order val="3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Sheet5!$G$53:$G$54</c:f>
              <c:numCache>
                <c:formatCode>0.00%</c:formatCode>
                <c:ptCount val="2"/>
                <c:pt idx="0">
                  <c:v>0.45</c:v>
                </c:pt>
                <c:pt idx="1">
                  <c:v>0.45</c:v>
                </c:pt>
              </c:numCache>
            </c:numRef>
          </c:xVal>
          <c:yVal>
            <c:numRef>
              <c:f>Sheet5!$H$53:$H$54</c:f>
              <c:numCache>
                <c:formatCode>0.00%</c:formatCode>
                <c:ptCount val="2"/>
                <c:pt idx="0">
                  <c:v>0.32450000000000001</c:v>
                </c:pt>
                <c:pt idx="1">
                  <c:v>0.4395</c:v>
                </c:pt>
              </c:numCache>
            </c:numRef>
          </c:yVal>
          <c:smooth val="0"/>
        </c:ser>
        <c:ser>
          <c:idx val="4"/>
          <c:order val="4"/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Sheet5!$B$49:$B$52</c:f>
              <c:numCache>
                <c:formatCode>0%</c:formatCode>
                <c:ptCount val="4"/>
                <c:pt idx="0">
                  <c:v>0.68</c:v>
                </c:pt>
                <c:pt idx="1">
                  <c:v>0.68</c:v>
                </c:pt>
                <c:pt idx="2">
                  <c:v>0.52</c:v>
                </c:pt>
                <c:pt idx="3">
                  <c:v>0.52</c:v>
                </c:pt>
              </c:numCache>
            </c:numRef>
          </c:xVal>
          <c:yVal>
            <c:numRef>
              <c:f>Sheet5!$C$49:$C$52</c:f>
              <c:numCache>
                <c:formatCode>0%</c:formatCode>
                <c:ptCount val="4"/>
                <c:pt idx="0">
                  <c:v>0.32</c:v>
                </c:pt>
                <c:pt idx="1">
                  <c:v>0.36</c:v>
                </c:pt>
                <c:pt idx="2">
                  <c:v>0.38</c:v>
                </c:pt>
                <c:pt idx="3">
                  <c:v>0.34</c:v>
                </c:pt>
              </c:numCache>
            </c:numRef>
          </c:yVal>
          <c:smooth val="0"/>
        </c:ser>
        <c:ser>
          <c:idx val="5"/>
          <c:order val="5"/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Sheet5!$D$49:$D$50</c:f>
              <c:numCache>
                <c:formatCode>0%</c:formatCode>
                <c:ptCount val="2"/>
                <c:pt idx="0">
                  <c:v>0.68</c:v>
                </c:pt>
                <c:pt idx="1">
                  <c:v>0.52</c:v>
                </c:pt>
              </c:numCache>
            </c:numRef>
          </c:xVal>
          <c:yVal>
            <c:numRef>
              <c:f>Sheet5!$E$49:$E$50</c:f>
              <c:numCache>
                <c:formatCode>0%</c:formatCode>
                <c:ptCount val="2"/>
                <c:pt idx="0">
                  <c:v>0.32</c:v>
                </c:pt>
                <c:pt idx="1">
                  <c:v>0.34</c:v>
                </c:pt>
              </c:numCache>
            </c:numRef>
          </c:yVal>
          <c:smooth val="0"/>
        </c:ser>
        <c:ser>
          <c:idx val="6"/>
          <c:order val="6"/>
          <c:marker>
            <c:spPr>
              <a:solidFill>
                <a:srgbClr val="0070C0"/>
              </a:solidFill>
            </c:spPr>
          </c:marker>
          <c:xVal>
            <c:numRef>
              <c:f>Sheet5!$AG$131</c:f>
              <c:numCache>
                <c:formatCode>0%</c:formatCode>
                <c:ptCount val="1"/>
                <c:pt idx="0">
                  <c:v>0</c:v>
                </c:pt>
              </c:numCache>
            </c:numRef>
          </c:xVal>
          <c:yVal>
            <c:numRef>
              <c:f>Sheet5!$AG$132</c:f>
              <c:numCache>
                <c:formatCode>0%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355192"/>
        <c:axId val="225001296"/>
      </c:scatterChart>
      <c:valAx>
        <c:axId val="225355192"/>
        <c:scaling>
          <c:orientation val="maxMin"/>
          <c:max val="0.8"/>
          <c:min val="0.30000000000000032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Coarsness Factor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225001296"/>
        <c:crosses val="autoZero"/>
        <c:crossBetween val="midCat"/>
      </c:valAx>
      <c:valAx>
        <c:axId val="225001296"/>
        <c:scaling>
          <c:orientation val="minMax"/>
          <c:max val="0.5"/>
          <c:min val="0.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Workability Factor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225355192"/>
        <c:crosses val="max"/>
        <c:crossBetween val="midCat"/>
      </c:valAx>
      <c:spPr>
        <a:solidFill>
          <a:schemeClr val="lt1"/>
        </a:solidFill>
        <a:ln w="25400" cap="flat" cmpd="sng" algn="ctr">
          <a:solidFill>
            <a:schemeClr val="accent3"/>
          </a:solidFill>
          <a:prstDash val="solid"/>
        </a:ln>
        <a:effectLst/>
      </c:spPr>
    </c:plotArea>
    <c:plotVisOnly val="1"/>
    <c:dispBlanksAs val="gap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MIX 14</a:t>
            </a:r>
          </a:p>
        </c:rich>
      </c:tx>
      <c:layout>
        <c:manualLayout>
          <c:xMode val="edge"/>
          <c:yMode val="edge"/>
          <c:x val="0.87277454614078442"/>
          <c:y val="0.13240954580446726"/>
        </c:manualLayout>
      </c:layout>
      <c:overlay val="1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</c:spPr>
    </c:title>
    <c:autoTitleDeleted val="0"/>
    <c:plotArea>
      <c:layout>
        <c:manualLayout>
          <c:layoutTarget val="inner"/>
          <c:xMode val="edge"/>
          <c:yMode val="edge"/>
          <c:x val="9.8187935572673621E-2"/>
          <c:y val="2.0849957265734412E-2"/>
          <c:w val="0.75074051661455687"/>
          <c:h val="0.84329678189763213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Sheet5!$G$47:$G$48</c:f>
              <c:numCache>
                <c:formatCode>0%</c:formatCode>
                <c:ptCount val="2"/>
                <c:pt idx="0">
                  <c:v>0.8</c:v>
                </c:pt>
                <c:pt idx="1">
                  <c:v>0.3</c:v>
                </c:pt>
              </c:numCache>
            </c:numRef>
          </c:xVal>
          <c:yVal>
            <c:numRef>
              <c:f>Sheet5!$H$47:$H$48</c:f>
              <c:numCache>
                <c:formatCode>0%</c:formatCode>
                <c:ptCount val="2"/>
                <c:pt idx="0" formatCode="0.0%">
                  <c:v>0.26500000000000001</c:v>
                </c:pt>
                <c:pt idx="1">
                  <c:v>0.35</c:v>
                </c:pt>
              </c:numCache>
            </c:numRef>
          </c:yVal>
          <c:smooth val="0"/>
        </c:ser>
        <c:ser>
          <c:idx val="1"/>
          <c:order val="1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Sheet5!$G$49:$G$50</c:f>
              <c:numCache>
                <c:formatCode>0.00%</c:formatCode>
                <c:ptCount val="2"/>
                <c:pt idx="0" formatCode="0%">
                  <c:v>0.8</c:v>
                </c:pt>
                <c:pt idx="1">
                  <c:v>0.3</c:v>
                </c:pt>
              </c:numCache>
            </c:numRef>
          </c:xVal>
          <c:yVal>
            <c:numRef>
              <c:f>Sheet5!$H$49:$H$50</c:f>
              <c:numCache>
                <c:formatCode>0.00%</c:formatCode>
                <c:ptCount val="2"/>
                <c:pt idx="0" formatCode="0%">
                  <c:v>0.38</c:v>
                </c:pt>
                <c:pt idx="1">
                  <c:v>0.46500000000000002</c:v>
                </c:pt>
              </c:numCache>
            </c:numRef>
          </c:yVal>
          <c:smooth val="0"/>
        </c:ser>
        <c:ser>
          <c:idx val="2"/>
          <c:order val="2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Sheet5!$G$51:$G$52</c:f>
              <c:numCache>
                <c:formatCode>0.00%</c:formatCode>
                <c:ptCount val="2"/>
                <c:pt idx="0">
                  <c:v>0.75</c:v>
                </c:pt>
                <c:pt idx="1">
                  <c:v>0.75</c:v>
                </c:pt>
              </c:numCache>
            </c:numRef>
          </c:xVal>
          <c:yVal>
            <c:numRef>
              <c:f>Sheet5!$H$51:$H$52</c:f>
              <c:numCache>
                <c:formatCode>0.00%</c:formatCode>
                <c:ptCount val="2"/>
                <c:pt idx="0">
                  <c:v>0.27350000000000002</c:v>
                </c:pt>
                <c:pt idx="1">
                  <c:v>0.38850000000000001</c:v>
                </c:pt>
              </c:numCache>
            </c:numRef>
          </c:yVal>
          <c:smooth val="0"/>
        </c:ser>
        <c:ser>
          <c:idx val="3"/>
          <c:order val="3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Sheet5!$G$53:$G$54</c:f>
              <c:numCache>
                <c:formatCode>0.00%</c:formatCode>
                <c:ptCount val="2"/>
                <c:pt idx="0">
                  <c:v>0.45</c:v>
                </c:pt>
                <c:pt idx="1">
                  <c:v>0.45</c:v>
                </c:pt>
              </c:numCache>
            </c:numRef>
          </c:xVal>
          <c:yVal>
            <c:numRef>
              <c:f>Sheet5!$H$53:$H$54</c:f>
              <c:numCache>
                <c:formatCode>0.00%</c:formatCode>
                <c:ptCount val="2"/>
                <c:pt idx="0">
                  <c:v>0.32450000000000001</c:v>
                </c:pt>
                <c:pt idx="1">
                  <c:v>0.4395</c:v>
                </c:pt>
              </c:numCache>
            </c:numRef>
          </c:yVal>
          <c:smooth val="0"/>
        </c:ser>
        <c:ser>
          <c:idx val="4"/>
          <c:order val="4"/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Sheet5!$B$49:$B$52</c:f>
              <c:numCache>
                <c:formatCode>0%</c:formatCode>
                <c:ptCount val="4"/>
                <c:pt idx="0">
                  <c:v>0.68</c:v>
                </c:pt>
                <c:pt idx="1">
                  <c:v>0.68</c:v>
                </c:pt>
                <c:pt idx="2">
                  <c:v>0.52</c:v>
                </c:pt>
                <c:pt idx="3">
                  <c:v>0.52</c:v>
                </c:pt>
              </c:numCache>
            </c:numRef>
          </c:xVal>
          <c:yVal>
            <c:numRef>
              <c:f>Sheet5!$C$49:$C$52</c:f>
              <c:numCache>
                <c:formatCode>0%</c:formatCode>
                <c:ptCount val="4"/>
                <c:pt idx="0">
                  <c:v>0.32</c:v>
                </c:pt>
                <c:pt idx="1">
                  <c:v>0.36</c:v>
                </c:pt>
                <c:pt idx="2">
                  <c:v>0.38</c:v>
                </c:pt>
                <c:pt idx="3">
                  <c:v>0.34</c:v>
                </c:pt>
              </c:numCache>
            </c:numRef>
          </c:yVal>
          <c:smooth val="0"/>
        </c:ser>
        <c:ser>
          <c:idx val="5"/>
          <c:order val="5"/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Sheet5!$D$49:$D$50</c:f>
              <c:numCache>
                <c:formatCode>0%</c:formatCode>
                <c:ptCount val="2"/>
                <c:pt idx="0">
                  <c:v>0.68</c:v>
                </c:pt>
                <c:pt idx="1">
                  <c:v>0.52</c:v>
                </c:pt>
              </c:numCache>
            </c:numRef>
          </c:xVal>
          <c:yVal>
            <c:numRef>
              <c:f>Sheet5!$E$49:$E$50</c:f>
              <c:numCache>
                <c:formatCode>0%</c:formatCode>
                <c:ptCount val="2"/>
                <c:pt idx="0">
                  <c:v>0.32</c:v>
                </c:pt>
                <c:pt idx="1">
                  <c:v>0.34</c:v>
                </c:pt>
              </c:numCache>
            </c:numRef>
          </c:yVal>
          <c:smooth val="0"/>
        </c:ser>
        <c:ser>
          <c:idx val="6"/>
          <c:order val="6"/>
          <c:marker>
            <c:spPr>
              <a:solidFill>
                <a:srgbClr val="0070C0"/>
              </a:solidFill>
            </c:spPr>
          </c:marker>
          <c:xVal>
            <c:numRef>
              <c:f>Sheet5!$AG$159</c:f>
              <c:numCache>
                <c:formatCode>0%</c:formatCode>
                <c:ptCount val="1"/>
                <c:pt idx="0">
                  <c:v>0</c:v>
                </c:pt>
              </c:numCache>
            </c:numRef>
          </c:xVal>
          <c:yVal>
            <c:numRef>
              <c:f>Sheet5!$AG$160</c:f>
              <c:numCache>
                <c:formatCode>0%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029296"/>
        <c:axId val="225879872"/>
      </c:scatterChart>
      <c:valAx>
        <c:axId val="225029296"/>
        <c:scaling>
          <c:orientation val="maxMin"/>
          <c:max val="0.8"/>
          <c:min val="0.30000000000000032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Coarsness Factor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225879872"/>
        <c:crosses val="autoZero"/>
        <c:crossBetween val="midCat"/>
      </c:valAx>
      <c:valAx>
        <c:axId val="225879872"/>
        <c:scaling>
          <c:orientation val="minMax"/>
          <c:max val="0.5"/>
          <c:min val="0.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Workability Factor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225029296"/>
        <c:crosses val="max"/>
        <c:crossBetween val="midCat"/>
      </c:valAx>
      <c:spPr>
        <a:solidFill>
          <a:schemeClr val="lt1"/>
        </a:solidFill>
        <a:ln w="25400" cap="flat" cmpd="sng" algn="ctr">
          <a:solidFill>
            <a:schemeClr val="accent3"/>
          </a:solidFill>
          <a:prstDash val="solid"/>
        </a:ln>
        <a:effectLst/>
      </c:spPr>
    </c:plotArea>
    <c:plotVisOnly val="1"/>
    <c:dispBlanksAs val="gap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MIX 15</a:t>
            </a:r>
          </a:p>
        </c:rich>
      </c:tx>
      <c:layout>
        <c:manualLayout>
          <c:xMode val="edge"/>
          <c:yMode val="edge"/>
          <c:x val="0.87277454614078476"/>
          <c:y val="0.13240954580446732"/>
        </c:manualLayout>
      </c:layout>
      <c:overlay val="1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</c:spPr>
    </c:title>
    <c:autoTitleDeleted val="0"/>
    <c:plotArea>
      <c:layout>
        <c:manualLayout>
          <c:layoutTarget val="inner"/>
          <c:xMode val="edge"/>
          <c:yMode val="edge"/>
          <c:x val="9.818793557267369E-2"/>
          <c:y val="2.0849957265734412E-2"/>
          <c:w val="0.75074051661455754"/>
          <c:h val="0.84329678189763169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Sheet5!$G$47:$G$48</c:f>
              <c:numCache>
                <c:formatCode>0%</c:formatCode>
                <c:ptCount val="2"/>
                <c:pt idx="0">
                  <c:v>0.8</c:v>
                </c:pt>
                <c:pt idx="1">
                  <c:v>0.3</c:v>
                </c:pt>
              </c:numCache>
            </c:numRef>
          </c:xVal>
          <c:yVal>
            <c:numRef>
              <c:f>Sheet5!$H$47:$H$48</c:f>
              <c:numCache>
                <c:formatCode>0%</c:formatCode>
                <c:ptCount val="2"/>
                <c:pt idx="0" formatCode="0.0%">
                  <c:v>0.26500000000000001</c:v>
                </c:pt>
                <c:pt idx="1">
                  <c:v>0.35</c:v>
                </c:pt>
              </c:numCache>
            </c:numRef>
          </c:yVal>
          <c:smooth val="0"/>
        </c:ser>
        <c:ser>
          <c:idx val="1"/>
          <c:order val="1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Sheet5!$G$49:$G$50</c:f>
              <c:numCache>
                <c:formatCode>0.00%</c:formatCode>
                <c:ptCount val="2"/>
                <c:pt idx="0" formatCode="0%">
                  <c:v>0.8</c:v>
                </c:pt>
                <c:pt idx="1">
                  <c:v>0.3</c:v>
                </c:pt>
              </c:numCache>
            </c:numRef>
          </c:xVal>
          <c:yVal>
            <c:numRef>
              <c:f>Sheet5!$H$49:$H$50</c:f>
              <c:numCache>
                <c:formatCode>0.00%</c:formatCode>
                <c:ptCount val="2"/>
                <c:pt idx="0" formatCode="0%">
                  <c:v>0.38</c:v>
                </c:pt>
                <c:pt idx="1">
                  <c:v>0.46500000000000002</c:v>
                </c:pt>
              </c:numCache>
            </c:numRef>
          </c:yVal>
          <c:smooth val="0"/>
        </c:ser>
        <c:ser>
          <c:idx val="2"/>
          <c:order val="2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Sheet5!$G$51:$G$52</c:f>
              <c:numCache>
                <c:formatCode>0.00%</c:formatCode>
                <c:ptCount val="2"/>
                <c:pt idx="0">
                  <c:v>0.75</c:v>
                </c:pt>
                <c:pt idx="1">
                  <c:v>0.75</c:v>
                </c:pt>
              </c:numCache>
            </c:numRef>
          </c:xVal>
          <c:yVal>
            <c:numRef>
              <c:f>Sheet5!$H$51:$H$52</c:f>
              <c:numCache>
                <c:formatCode>0.00%</c:formatCode>
                <c:ptCount val="2"/>
                <c:pt idx="0">
                  <c:v>0.27350000000000002</c:v>
                </c:pt>
                <c:pt idx="1">
                  <c:v>0.38850000000000001</c:v>
                </c:pt>
              </c:numCache>
            </c:numRef>
          </c:yVal>
          <c:smooth val="0"/>
        </c:ser>
        <c:ser>
          <c:idx val="3"/>
          <c:order val="3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Sheet5!$G$53:$G$54</c:f>
              <c:numCache>
                <c:formatCode>0.00%</c:formatCode>
                <c:ptCount val="2"/>
                <c:pt idx="0">
                  <c:v>0.45</c:v>
                </c:pt>
                <c:pt idx="1">
                  <c:v>0.45</c:v>
                </c:pt>
              </c:numCache>
            </c:numRef>
          </c:xVal>
          <c:yVal>
            <c:numRef>
              <c:f>Sheet5!$H$53:$H$54</c:f>
              <c:numCache>
                <c:formatCode>0.00%</c:formatCode>
                <c:ptCount val="2"/>
                <c:pt idx="0">
                  <c:v>0.32450000000000001</c:v>
                </c:pt>
                <c:pt idx="1">
                  <c:v>0.4395</c:v>
                </c:pt>
              </c:numCache>
            </c:numRef>
          </c:yVal>
          <c:smooth val="0"/>
        </c:ser>
        <c:ser>
          <c:idx val="4"/>
          <c:order val="4"/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Sheet5!$B$49:$B$52</c:f>
              <c:numCache>
                <c:formatCode>0%</c:formatCode>
                <c:ptCount val="4"/>
                <c:pt idx="0">
                  <c:v>0.68</c:v>
                </c:pt>
                <c:pt idx="1">
                  <c:v>0.68</c:v>
                </c:pt>
                <c:pt idx="2">
                  <c:v>0.52</c:v>
                </c:pt>
                <c:pt idx="3">
                  <c:v>0.52</c:v>
                </c:pt>
              </c:numCache>
            </c:numRef>
          </c:xVal>
          <c:yVal>
            <c:numRef>
              <c:f>Sheet5!$C$49:$C$52</c:f>
              <c:numCache>
                <c:formatCode>0%</c:formatCode>
                <c:ptCount val="4"/>
                <c:pt idx="0">
                  <c:v>0.32</c:v>
                </c:pt>
                <c:pt idx="1">
                  <c:v>0.36</c:v>
                </c:pt>
                <c:pt idx="2">
                  <c:v>0.38</c:v>
                </c:pt>
                <c:pt idx="3">
                  <c:v>0.34</c:v>
                </c:pt>
              </c:numCache>
            </c:numRef>
          </c:yVal>
          <c:smooth val="0"/>
        </c:ser>
        <c:ser>
          <c:idx val="5"/>
          <c:order val="5"/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Sheet5!$D$49:$D$50</c:f>
              <c:numCache>
                <c:formatCode>0%</c:formatCode>
                <c:ptCount val="2"/>
                <c:pt idx="0">
                  <c:v>0.68</c:v>
                </c:pt>
                <c:pt idx="1">
                  <c:v>0.52</c:v>
                </c:pt>
              </c:numCache>
            </c:numRef>
          </c:xVal>
          <c:yVal>
            <c:numRef>
              <c:f>Sheet5!$E$49:$E$50</c:f>
              <c:numCache>
                <c:formatCode>0%</c:formatCode>
                <c:ptCount val="2"/>
                <c:pt idx="0">
                  <c:v>0.32</c:v>
                </c:pt>
                <c:pt idx="1">
                  <c:v>0.34</c:v>
                </c:pt>
              </c:numCache>
            </c:numRef>
          </c:yVal>
          <c:smooth val="0"/>
        </c:ser>
        <c:ser>
          <c:idx val="6"/>
          <c:order val="6"/>
          <c:marker>
            <c:spPr>
              <a:solidFill>
                <a:srgbClr val="0070C0"/>
              </a:solidFill>
            </c:spPr>
          </c:marker>
          <c:xVal>
            <c:numRef>
              <c:f>Sheet5!$AG$187</c:f>
              <c:numCache>
                <c:formatCode>0%</c:formatCode>
                <c:ptCount val="1"/>
                <c:pt idx="0">
                  <c:v>0</c:v>
                </c:pt>
              </c:numCache>
            </c:numRef>
          </c:xVal>
          <c:yVal>
            <c:numRef>
              <c:f>Sheet5!$AG$188</c:f>
              <c:numCache>
                <c:formatCode>0%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585784"/>
        <c:axId val="180419824"/>
      </c:scatterChart>
      <c:valAx>
        <c:axId val="225585784"/>
        <c:scaling>
          <c:orientation val="maxMin"/>
          <c:max val="0.8"/>
          <c:min val="0.30000000000000032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Coarsness Factor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80419824"/>
        <c:crosses val="autoZero"/>
        <c:crossBetween val="midCat"/>
      </c:valAx>
      <c:valAx>
        <c:axId val="180419824"/>
        <c:scaling>
          <c:orientation val="minMax"/>
          <c:max val="0.5"/>
          <c:min val="0.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Workability Factor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225585784"/>
        <c:crosses val="max"/>
        <c:crossBetween val="midCat"/>
      </c:valAx>
      <c:spPr>
        <a:solidFill>
          <a:schemeClr val="lt1"/>
        </a:solidFill>
        <a:ln w="25400" cap="flat" cmpd="sng" algn="ctr">
          <a:solidFill>
            <a:schemeClr val="accent3"/>
          </a:solidFill>
          <a:prstDash val="solid"/>
        </a:ln>
        <a:effectLst/>
      </c:spPr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MIX 7</a:t>
            </a:r>
          </a:p>
        </c:rich>
      </c:tx>
      <c:layout>
        <c:manualLayout>
          <c:xMode val="edge"/>
          <c:yMode val="edge"/>
          <c:x val="0.87277454614078476"/>
          <c:y val="0.13240954580446732"/>
        </c:manualLayout>
      </c:layout>
      <c:overlay val="1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</c:spPr>
    </c:title>
    <c:autoTitleDeleted val="0"/>
    <c:plotArea>
      <c:layout>
        <c:manualLayout>
          <c:layoutTarget val="inner"/>
          <c:xMode val="edge"/>
          <c:yMode val="edge"/>
          <c:x val="9.818793557267369E-2"/>
          <c:y val="2.0849957265734412E-2"/>
          <c:w val="0.75074051661455754"/>
          <c:h val="0.84329678189763169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Sheet5!$G$47:$G$48</c:f>
              <c:numCache>
                <c:formatCode>0%</c:formatCode>
                <c:ptCount val="2"/>
                <c:pt idx="0">
                  <c:v>0.8</c:v>
                </c:pt>
                <c:pt idx="1">
                  <c:v>0.3</c:v>
                </c:pt>
              </c:numCache>
            </c:numRef>
          </c:xVal>
          <c:yVal>
            <c:numRef>
              <c:f>Sheet5!$H$47:$H$48</c:f>
              <c:numCache>
                <c:formatCode>0%</c:formatCode>
                <c:ptCount val="2"/>
                <c:pt idx="0" formatCode="0.0%">
                  <c:v>0.26500000000000001</c:v>
                </c:pt>
                <c:pt idx="1">
                  <c:v>0.35</c:v>
                </c:pt>
              </c:numCache>
            </c:numRef>
          </c:yVal>
          <c:smooth val="0"/>
        </c:ser>
        <c:ser>
          <c:idx val="1"/>
          <c:order val="1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Sheet5!$G$49:$G$50</c:f>
              <c:numCache>
                <c:formatCode>0.00%</c:formatCode>
                <c:ptCount val="2"/>
                <c:pt idx="0" formatCode="0%">
                  <c:v>0.8</c:v>
                </c:pt>
                <c:pt idx="1">
                  <c:v>0.3</c:v>
                </c:pt>
              </c:numCache>
            </c:numRef>
          </c:xVal>
          <c:yVal>
            <c:numRef>
              <c:f>Sheet5!$H$49:$H$50</c:f>
              <c:numCache>
                <c:formatCode>0.00%</c:formatCode>
                <c:ptCount val="2"/>
                <c:pt idx="0" formatCode="0%">
                  <c:v>0.38</c:v>
                </c:pt>
                <c:pt idx="1">
                  <c:v>0.46500000000000002</c:v>
                </c:pt>
              </c:numCache>
            </c:numRef>
          </c:yVal>
          <c:smooth val="0"/>
        </c:ser>
        <c:ser>
          <c:idx val="2"/>
          <c:order val="2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Sheet5!$G$51:$G$52</c:f>
              <c:numCache>
                <c:formatCode>0.00%</c:formatCode>
                <c:ptCount val="2"/>
                <c:pt idx="0">
                  <c:v>0.75</c:v>
                </c:pt>
                <c:pt idx="1">
                  <c:v>0.75</c:v>
                </c:pt>
              </c:numCache>
            </c:numRef>
          </c:xVal>
          <c:yVal>
            <c:numRef>
              <c:f>Sheet5!$H$51:$H$52</c:f>
              <c:numCache>
                <c:formatCode>0.00%</c:formatCode>
                <c:ptCount val="2"/>
                <c:pt idx="0">
                  <c:v>0.27350000000000002</c:v>
                </c:pt>
                <c:pt idx="1">
                  <c:v>0.38850000000000001</c:v>
                </c:pt>
              </c:numCache>
            </c:numRef>
          </c:yVal>
          <c:smooth val="0"/>
        </c:ser>
        <c:ser>
          <c:idx val="3"/>
          <c:order val="3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Sheet5!$G$53:$G$54</c:f>
              <c:numCache>
                <c:formatCode>0.00%</c:formatCode>
                <c:ptCount val="2"/>
                <c:pt idx="0">
                  <c:v>0.45</c:v>
                </c:pt>
                <c:pt idx="1">
                  <c:v>0.45</c:v>
                </c:pt>
              </c:numCache>
            </c:numRef>
          </c:xVal>
          <c:yVal>
            <c:numRef>
              <c:f>Sheet5!$H$53:$H$54</c:f>
              <c:numCache>
                <c:formatCode>0.00%</c:formatCode>
                <c:ptCount val="2"/>
                <c:pt idx="0">
                  <c:v>0.32450000000000001</c:v>
                </c:pt>
                <c:pt idx="1">
                  <c:v>0.4395</c:v>
                </c:pt>
              </c:numCache>
            </c:numRef>
          </c:yVal>
          <c:smooth val="0"/>
        </c:ser>
        <c:ser>
          <c:idx val="4"/>
          <c:order val="4"/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Sheet5!$B$49:$B$52</c:f>
              <c:numCache>
                <c:formatCode>0%</c:formatCode>
                <c:ptCount val="4"/>
                <c:pt idx="0">
                  <c:v>0.68</c:v>
                </c:pt>
                <c:pt idx="1">
                  <c:v>0.68</c:v>
                </c:pt>
                <c:pt idx="2">
                  <c:v>0.52</c:v>
                </c:pt>
                <c:pt idx="3">
                  <c:v>0.52</c:v>
                </c:pt>
              </c:numCache>
            </c:numRef>
          </c:xVal>
          <c:yVal>
            <c:numRef>
              <c:f>Sheet5!$C$49:$C$52</c:f>
              <c:numCache>
                <c:formatCode>0%</c:formatCode>
                <c:ptCount val="4"/>
                <c:pt idx="0">
                  <c:v>0.32</c:v>
                </c:pt>
                <c:pt idx="1">
                  <c:v>0.36</c:v>
                </c:pt>
                <c:pt idx="2">
                  <c:v>0.38</c:v>
                </c:pt>
                <c:pt idx="3">
                  <c:v>0.34</c:v>
                </c:pt>
              </c:numCache>
            </c:numRef>
          </c:yVal>
          <c:smooth val="0"/>
        </c:ser>
        <c:ser>
          <c:idx val="5"/>
          <c:order val="5"/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Sheet5!$D$49:$D$50</c:f>
              <c:numCache>
                <c:formatCode>0%</c:formatCode>
                <c:ptCount val="2"/>
                <c:pt idx="0">
                  <c:v>0.68</c:v>
                </c:pt>
                <c:pt idx="1">
                  <c:v>0.52</c:v>
                </c:pt>
              </c:numCache>
            </c:numRef>
          </c:xVal>
          <c:yVal>
            <c:numRef>
              <c:f>Sheet5!$E$49:$E$50</c:f>
              <c:numCache>
                <c:formatCode>0%</c:formatCode>
                <c:ptCount val="2"/>
                <c:pt idx="0">
                  <c:v>0.32</c:v>
                </c:pt>
                <c:pt idx="1">
                  <c:v>0.34</c:v>
                </c:pt>
              </c:numCache>
            </c:numRef>
          </c:yVal>
          <c:smooth val="0"/>
        </c:ser>
        <c:ser>
          <c:idx val="6"/>
          <c:order val="6"/>
          <c:spPr>
            <a:ln w="19050"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pPr>
              <a:solidFill>
                <a:srgbClr val="0070C0"/>
              </a:solidFill>
              <a:ln w="19050">
                <a:solidFill>
                  <a:schemeClr val="tx1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xVal>
            <c:numRef>
              <c:f>Sheet5!$AG$103</c:f>
              <c:numCache>
                <c:formatCode>0%</c:formatCode>
                <c:ptCount val="1"/>
                <c:pt idx="0">
                  <c:v>0</c:v>
                </c:pt>
              </c:numCache>
            </c:numRef>
          </c:xVal>
          <c:yVal>
            <c:numRef>
              <c:f>Sheet5!$AG$104</c:f>
              <c:numCache>
                <c:formatCode>0%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422568"/>
        <c:axId val="180422960"/>
      </c:scatterChart>
      <c:valAx>
        <c:axId val="180422568"/>
        <c:scaling>
          <c:orientation val="maxMin"/>
          <c:max val="0.8"/>
          <c:min val="0.30000000000000032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Coarsness Factor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80422960"/>
        <c:crosses val="autoZero"/>
        <c:crossBetween val="midCat"/>
      </c:valAx>
      <c:valAx>
        <c:axId val="180422960"/>
        <c:scaling>
          <c:orientation val="minMax"/>
          <c:max val="0.5"/>
          <c:min val="0.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Workability Factor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80422568"/>
        <c:crosses val="max"/>
        <c:crossBetween val="midCat"/>
      </c:valAx>
      <c:spPr>
        <a:solidFill>
          <a:schemeClr val="lt1"/>
        </a:solidFill>
        <a:ln w="25400" cap="flat" cmpd="sng" algn="ctr">
          <a:solidFill>
            <a:schemeClr val="accent3"/>
          </a:solidFill>
          <a:prstDash val="solid"/>
        </a:ln>
        <a:effectLst/>
      </c:spPr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MIX 17</a:t>
            </a:r>
          </a:p>
        </c:rich>
      </c:tx>
      <c:layout>
        <c:manualLayout>
          <c:xMode val="edge"/>
          <c:yMode val="edge"/>
          <c:x val="0.8727745461407852"/>
          <c:y val="0.13240954580446743"/>
        </c:manualLayout>
      </c:layout>
      <c:overlay val="1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</c:spPr>
    </c:title>
    <c:autoTitleDeleted val="0"/>
    <c:plotArea>
      <c:layout>
        <c:manualLayout>
          <c:layoutTarget val="inner"/>
          <c:xMode val="edge"/>
          <c:yMode val="edge"/>
          <c:x val="9.8187935572673746E-2"/>
          <c:y val="2.0849957265734412E-2"/>
          <c:w val="0.75074051661455821"/>
          <c:h val="0.84329678189763135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Sheet5!$G$47:$G$48</c:f>
              <c:numCache>
                <c:formatCode>0%</c:formatCode>
                <c:ptCount val="2"/>
                <c:pt idx="0">
                  <c:v>0.8</c:v>
                </c:pt>
                <c:pt idx="1">
                  <c:v>0.3</c:v>
                </c:pt>
              </c:numCache>
            </c:numRef>
          </c:xVal>
          <c:yVal>
            <c:numRef>
              <c:f>Sheet5!$H$47:$H$48</c:f>
              <c:numCache>
                <c:formatCode>0%</c:formatCode>
                <c:ptCount val="2"/>
                <c:pt idx="0" formatCode="0.0%">
                  <c:v>0.26500000000000001</c:v>
                </c:pt>
                <c:pt idx="1">
                  <c:v>0.35</c:v>
                </c:pt>
              </c:numCache>
            </c:numRef>
          </c:yVal>
          <c:smooth val="0"/>
        </c:ser>
        <c:ser>
          <c:idx val="1"/>
          <c:order val="1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Sheet5!$G$49:$G$50</c:f>
              <c:numCache>
                <c:formatCode>0.00%</c:formatCode>
                <c:ptCount val="2"/>
                <c:pt idx="0" formatCode="0%">
                  <c:v>0.8</c:v>
                </c:pt>
                <c:pt idx="1">
                  <c:v>0.3</c:v>
                </c:pt>
              </c:numCache>
            </c:numRef>
          </c:xVal>
          <c:yVal>
            <c:numRef>
              <c:f>Sheet5!$H$49:$H$50</c:f>
              <c:numCache>
                <c:formatCode>0.00%</c:formatCode>
                <c:ptCount val="2"/>
                <c:pt idx="0" formatCode="0%">
                  <c:v>0.38</c:v>
                </c:pt>
                <c:pt idx="1">
                  <c:v>0.46500000000000002</c:v>
                </c:pt>
              </c:numCache>
            </c:numRef>
          </c:yVal>
          <c:smooth val="0"/>
        </c:ser>
        <c:ser>
          <c:idx val="2"/>
          <c:order val="2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Sheet5!$G$51:$G$52</c:f>
              <c:numCache>
                <c:formatCode>0.00%</c:formatCode>
                <c:ptCount val="2"/>
                <c:pt idx="0">
                  <c:v>0.75</c:v>
                </c:pt>
                <c:pt idx="1">
                  <c:v>0.75</c:v>
                </c:pt>
              </c:numCache>
            </c:numRef>
          </c:xVal>
          <c:yVal>
            <c:numRef>
              <c:f>Sheet5!$H$51:$H$52</c:f>
              <c:numCache>
                <c:formatCode>0.00%</c:formatCode>
                <c:ptCount val="2"/>
                <c:pt idx="0">
                  <c:v>0.27350000000000002</c:v>
                </c:pt>
                <c:pt idx="1">
                  <c:v>0.38850000000000001</c:v>
                </c:pt>
              </c:numCache>
            </c:numRef>
          </c:yVal>
          <c:smooth val="0"/>
        </c:ser>
        <c:ser>
          <c:idx val="3"/>
          <c:order val="3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Sheet5!$G$53:$G$54</c:f>
              <c:numCache>
                <c:formatCode>0.00%</c:formatCode>
                <c:ptCount val="2"/>
                <c:pt idx="0">
                  <c:v>0.45</c:v>
                </c:pt>
                <c:pt idx="1">
                  <c:v>0.45</c:v>
                </c:pt>
              </c:numCache>
            </c:numRef>
          </c:xVal>
          <c:yVal>
            <c:numRef>
              <c:f>Sheet5!$H$53:$H$54</c:f>
              <c:numCache>
                <c:formatCode>0.00%</c:formatCode>
                <c:ptCount val="2"/>
                <c:pt idx="0">
                  <c:v>0.32450000000000001</c:v>
                </c:pt>
                <c:pt idx="1">
                  <c:v>0.4395</c:v>
                </c:pt>
              </c:numCache>
            </c:numRef>
          </c:yVal>
          <c:smooth val="0"/>
        </c:ser>
        <c:ser>
          <c:idx val="4"/>
          <c:order val="4"/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Sheet5!$B$49:$B$52</c:f>
              <c:numCache>
                <c:formatCode>0%</c:formatCode>
                <c:ptCount val="4"/>
                <c:pt idx="0">
                  <c:v>0.68</c:v>
                </c:pt>
                <c:pt idx="1">
                  <c:v>0.68</c:v>
                </c:pt>
                <c:pt idx="2">
                  <c:v>0.52</c:v>
                </c:pt>
                <c:pt idx="3">
                  <c:v>0.52</c:v>
                </c:pt>
              </c:numCache>
            </c:numRef>
          </c:xVal>
          <c:yVal>
            <c:numRef>
              <c:f>Sheet5!$C$49:$C$52</c:f>
              <c:numCache>
                <c:formatCode>0%</c:formatCode>
                <c:ptCount val="4"/>
                <c:pt idx="0">
                  <c:v>0.32</c:v>
                </c:pt>
                <c:pt idx="1">
                  <c:v>0.36</c:v>
                </c:pt>
                <c:pt idx="2">
                  <c:v>0.38</c:v>
                </c:pt>
                <c:pt idx="3">
                  <c:v>0.34</c:v>
                </c:pt>
              </c:numCache>
            </c:numRef>
          </c:yVal>
          <c:smooth val="0"/>
        </c:ser>
        <c:ser>
          <c:idx val="5"/>
          <c:order val="5"/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Sheet5!$D$49:$D$50</c:f>
              <c:numCache>
                <c:formatCode>0%</c:formatCode>
                <c:ptCount val="2"/>
                <c:pt idx="0">
                  <c:v>0.68</c:v>
                </c:pt>
                <c:pt idx="1">
                  <c:v>0.52</c:v>
                </c:pt>
              </c:numCache>
            </c:numRef>
          </c:xVal>
          <c:yVal>
            <c:numRef>
              <c:f>Sheet5!$E$49:$E$50</c:f>
              <c:numCache>
                <c:formatCode>0%</c:formatCode>
                <c:ptCount val="2"/>
                <c:pt idx="0">
                  <c:v>0.32</c:v>
                </c:pt>
                <c:pt idx="1">
                  <c:v>0.34</c:v>
                </c:pt>
              </c:numCache>
            </c:numRef>
          </c:yVal>
          <c:smooth val="0"/>
        </c:ser>
        <c:ser>
          <c:idx val="6"/>
          <c:order val="6"/>
          <c:marker>
            <c:spPr>
              <a:solidFill>
                <a:srgbClr val="0070C0"/>
              </a:solidFill>
            </c:spPr>
          </c:marker>
          <c:xVal>
            <c:numRef>
              <c:f>Sheet5!$AG$216</c:f>
              <c:numCache>
                <c:formatCode>0%</c:formatCode>
                <c:ptCount val="1"/>
                <c:pt idx="0">
                  <c:v>0</c:v>
                </c:pt>
              </c:numCache>
            </c:numRef>
          </c:xVal>
          <c:yVal>
            <c:numRef>
              <c:f>Sheet5!$AG$217</c:f>
              <c:numCache>
                <c:formatCode>0%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423744"/>
        <c:axId val="180424136"/>
      </c:scatterChart>
      <c:valAx>
        <c:axId val="180423744"/>
        <c:scaling>
          <c:orientation val="maxMin"/>
          <c:max val="0.8"/>
          <c:min val="0.30000000000000032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Coarsness Factor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80424136"/>
        <c:crosses val="autoZero"/>
        <c:crossBetween val="midCat"/>
      </c:valAx>
      <c:valAx>
        <c:axId val="180424136"/>
        <c:scaling>
          <c:orientation val="minMax"/>
          <c:max val="0.5"/>
          <c:min val="0.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Workability Factor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80423744"/>
        <c:crosses val="max"/>
        <c:crossBetween val="midCat"/>
      </c:valAx>
      <c:spPr>
        <a:solidFill>
          <a:schemeClr val="lt1"/>
        </a:solidFill>
        <a:ln w="25400" cap="flat" cmpd="sng" algn="ctr">
          <a:solidFill>
            <a:schemeClr val="accent3"/>
          </a:solidFill>
          <a:prstDash val="solid"/>
        </a:ln>
        <a:effectLst/>
      </c:spPr>
    </c:plotArea>
    <c:plotVisOnly val="1"/>
    <c:dispBlanksAs val="gap"/>
    <c:showDLblsOverMax val="0"/>
  </c:chart>
  <c:printSettings>
    <c:headerFooter/>
    <c:pageMargins b="0.75000000000000766" l="0.70000000000000062" r="0.70000000000000062" t="0.75000000000000766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Mix 2</a:t>
            </a:r>
          </a:p>
        </c:rich>
      </c:tx>
      <c:layout>
        <c:manualLayout>
          <c:xMode val="edge"/>
          <c:yMode val="edge"/>
          <c:x val="0.39340041607147841"/>
          <c:y val="1.181833614081822E-2"/>
        </c:manualLayout>
      </c:layout>
      <c:overlay val="1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title>
    <c:autoTitleDeleted val="0"/>
    <c:plotArea>
      <c:layout>
        <c:manualLayout>
          <c:layoutTarget val="inner"/>
          <c:xMode val="edge"/>
          <c:yMode val="edge"/>
          <c:x val="5.0292346415769476E-2"/>
          <c:y val="2.0936970043233846E-2"/>
          <c:w val="0.71077786200104165"/>
          <c:h val="0.91304929634138343"/>
        </c:manualLayout>
      </c:layout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strRef>
              <c:f>Sheet5!$H$61:$H$72</c:f>
              <c:strCache>
                <c:ptCount val="12"/>
                <c:pt idx="0">
                  <c:v>1.5</c:v>
                </c:pt>
                <c:pt idx="1">
                  <c:v>1</c:v>
                </c:pt>
                <c:pt idx="2">
                  <c:v>0.75</c:v>
                </c:pt>
                <c:pt idx="3">
                  <c:v>0.5</c:v>
                </c:pt>
                <c:pt idx="4">
                  <c:v>0.375</c:v>
                </c:pt>
                <c:pt idx="5">
                  <c:v>#4</c:v>
                </c:pt>
                <c:pt idx="6">
                  <c:v>#8</c:v>
                </c:pt>
                <c:pt idx="7">
                  <c:v>#16</c:v>
                </c:pt>
                <c:pt idx="8">
                  <c:v>#30</c:v>
                </c:pt>
                <c:pt idx="9">
                  <c:v>#50</c:v>
                </c:pt>
                <c:pt idx="10">
                  <c:v>#100</c:v>
                </c:pt>
                <c:pt idx="11">
                  <c:v>#200</c:v>
                </c:pt>
              </c:strCache>
            </c:strRef>
          </c:xVal>
          <c:yVal>
            <c:numRef>
              <c:f>Sheet5!$J$61:$J$72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Sheet5!$BE$59:$BE$62</c:f>
              <c:numCache>
                <c:formatCode>General</c:formatCode>
                <c:ptCount val="4"/>
                <c:pt idx="0">
                  <c:v>12</c:v>
                </c:pt>
                <c:pt idx="1">
                  <c:v>11</c:v>
                </c:pt>
                <c:pt idx="2">
                  <c:v>2</c:v>
                </c:pt>
                <c:pt idx="3">
                  <c:v>1</c:v>
                </c:pt>
              </c:numCache>
            </c:numRef>
          </c:xVal>
          <c:yVal>
            <c:numRef>
              <c:f>Sheet5!$BF$59:$BF$62</c:f>
              <c:numCache>
                <c:formatCode>0%</c:formatCode>
                <c:ptCount val="4"/>
                <c:pt idx="0">
                  <c:v>0</c:v>
                </c:pt>
                <c:pt idx="1">
                  <c:v>0.18</c:v>
                </c:pt>
                <c:pt idx="2">
                  <c:v>0.18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Sheet5!$BE$63:$BE$66</c:f>
              <c:numCache>
                <c:formatCode>General</c:formatCode>
                <c:ptCount val="4"/>
                <c:pt idx="0">
                  <c:v>10</c:v>
                </c:pt>
                <c:pt idx="1">
                  <c:v>9</c:v>
                </c:pt>
                <c:pt idx="2">
                  <c:v>4</c:v>
                </c:pt>
                <c:pt idx="3">
                  <c:v>3</c:v>
                </c:pt>
              </c:numCache>
            </c:numRef>
          </c:xVal>
          <c:yVal>
            <c:numRef>
              <c:f>Sheet5!$BF$63:$BF$66</c:f>
              <c:numCache>
                <c:formatCode>0%</c:formatCode>
                <c:ptCount val="4"/>
                <c:pt idx="0">
                  <c:v>0</c:v>
                </c:pt>
                <c:pt idx="1">
                  <c:v>0.08</c:v>
                </c:pt>
                <c:pt idx="2">
                  <c:v>0.08</c:v>
                </c:pt>
                <c:pt idx="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424920"/>
        <c:axId val="180425312"/>
      </c:scatterChart>
      <c:valAx>
        <c:axId val="180424920"/>
        <c:scaling>
          <c:orientation val="maxMin"/>
        </c:scaling>
        <c:delete val="0"/>
        <c:axPos val="b"/>
        <c:majorGridlines/>
        <c:numFmt formatCode="@" sourceLinked="0"/>
        <c:majorTickMark val="out"/>
        <c:minorTickMark val="none"/>
        <c:tickLblPos val="none"/>
        <c:crossAx val="180425312"/>
        <c:crosses val="autoZero"/>
        <c:crossBetween val="midCat"/>
      </c:valAx>
      <c:valAx>
        <c:axId val="180425312"/>
        <c:scaling>
          <c:orientation val="minMax"/>
        </c:scaling>
        <c:delete val="0"/>
        <c:axPos val="r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%</a:t>
                </a:r>
                <a:r>
                  <a:rPr lang="en-US" sz="1200" baseline="0"/>
                  <a:t> Retained</a:t>
                </a:r>
                <a:endParaRPr lang="en-US" sz="1200"/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1804249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711" l="0.70000000000000062" r="0.70000000000000062" t="0.750000000000007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Mix 7</a:t>
            </a:r>
          </a:p>
        </c:rich>
      </c:tx>
      <c:layout>
        <c:manualLayout>
          <c:xMode val="edge"/>
          <c:yMode val="edge"/>
          <c:x val="0.39340041607147841"/>
          <c:y val="1.181833614081822E-2"/>
        </c:manualLayout>
      </c:layout>
      <c:overlay val="1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title>
    <c:autoTitleDeleted val="0"/>
    <c:plotArea>
      <c:layout>
        <c:manualLayout>
          <c:layoutTarget val="inner"/>
          <c:xMode val="edge"/>
          <c:yMode val="edge"/>
          <c:x val="5.0292346415769476E-2"/>
          <c:y val="2.0936970043233846E-2"/>
          <c:w val="0.71077786200104165"/>
          <c:h val="0.91304929634138343"/>
        </c:manualLayout>
      </c:layout>
      <c:scatterChart>
        <c:scatterStyle val="lineMarker"/>
        <c:varyColors val="0"/>
        <c:ser>
          <c:idx val="1"/>
          <c:order val="0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Sheet5!$BE$59:$BE$62</c:f>
              <c:numCache>
                <c:formatCode>General</c:formatCode>
                <c:ptCount val="4"/>
                <c:pt idx="0">
                  <c:v>12</c:v>
                </c:pt>
                <c:pt idx="1">
                  <c:v>11</c:v>
                </c:pt>
                <c:pt idx="2">
                  <c:v>2</c:v>
                </c:pt>
                <c:pt idx="3">
                  <c:v>1</c:v>
                </c:pt>
              </c:numCache>
            </c:numRef>
          </c:xVal>
          <c:yVal>
            <c:numRef>
              <c:f>Sheet5!$BF$59:$BF$62</c:f>
              <c:numCache>
                <c:formatCode>0%</c:formatCode>
                <c:ptCount val="4"/>
                <c:pt idx="0">
                  <c:v>0</c:v>
                </c:pt>
                <c:pt idx="1">
                  <c:v>0.18</c:v>
                </c:pt>
                <c:pt idx="2">
                  <c:v>0.18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1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Sheet5!$BE$63:$BE$66</c:f>
              <c:numCache>
                <c:formatCode>General</c:formatCode>
                <c:ptCount val="4"/>
                <c:pt idx="0">
                  <c:v>10</c:v>
                </c:pt>
                <c:pt idx="1">
                  <c:v>9</c:v>
                </c:pt>
                <c:pt idx="2">
                  <c:v>4</c:v>
                </c:pt>
                <c:pt idx="3">
                  <c:v>3</c:v>
                </c:pt>
              </c:numCache>
            </c:numRef>
          </c:xVal>
          <c:yVal>
            <c:numRef>
              <c:f>Sheet5!$BF$63:$BF$66</c:f>
              <c:numCache>
                <c:formatCode>0%</c:formatCode>
                <c:ptCount val="4"/>
                <c:pt idx="0">
                  <c:v>0</c:v>
                </c:pt>
                <c:pt idx="1">
                  <c:v>0.08</c:v>
                </c:pt>
                <c:pt idx="2">
                  <c:v>0.08</c:v>
                </c:pt>
                <c:pt idx="3">
                  <c:v>0</c:v>
                </c:pt>
              </c:numCache>
            </c:numRef>
          </c:yVal>
          <c:smooth val="0"/>
        </c:ser>
        <c:ser>
          <c:idx val="0"/>
          <c:order val="2"/>
          <c:marker>
            <c:symbol val="none"/>
          </c:marker>
          <c:xVal>
            <c:strRef>
              <c:f>Sheet5!$H$87:$H$98</c:f>
              <c:strCache>
                <c:ptCount val="12"/>
                <c:pt idx="0">
                  <c:v>1.5</c:v>
                </c:pt>
                <c:pt idx="1">
                  <c:v>1</c:v>
                </c:pt>
                <c:pt idx="2">
                  <c:v>0.75</c:v>
                </c:pt>
                <c:pt idx="3">
                  <c:v>0.5</c:v>
                </c:pt>
                <c:pt idx="4">
                  <c:v>0.375</c:v>
                </c:pt>
                <c:pt idx="5">
                  <c:v>#4</c:v>
                </c:pt>
                <c:pt idx="6">
                  <c:v>#8</c:v>
                </c:pt>
                <c:pt idx="7">
                  <c:v>#16</c:v>
                </c:pt>
                <c:pt idx="8">
                  <c:v>#30</c:v>
                </c:pt>
                <c:pt idx="9">
                  <c:v>#50</c:v>
                </c:pt>
                <c:pt idx="10">
                  <c:v>#100</c:v>
                </c:pt>
                <c:pt idx="11">
                  <c:v>#200</c:v>
                </c:pt>
              </c:strCache>
            </c:strRef>
          </c:xVal>
          <c:yVal>
            <c:numRef>
              <c:f>Sheet5!$J$87:$J$98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426096"/>
        <c:axId val="226053800"/>
      </c:scatterChart>
      <c:valAx>
        <c:axId val="180426096"/>
        <c:scaling>
          <c:orientation val="maxMin"/>
        </c:scaling>
        <c:delete val="0"/>
        <c:axPos val="b"/>
        <c:majorGridlines/>
        <c:numFmt formatCode="@" sourceLinked="0"/>
        <c:majorTickMark val="out"/>
        <c:minorTickMark val="none"/>
        <c:tickLblPos val="none"/>
        <c:crossAx val="226053800"/>
        <c:crosses val="autoZero"/>
        <c:crossBetween val="midCat"/>
      </c:valAx>
      <c:valAx>
        <c:axId val="226053800"/>
        <c:scaling>
          <c:orientation val="minMax"/>
        </c:scaling>
        <c:delete val="0"/>
        <c:axPos val="r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%</a:t>
                </a:r>
                <a:r>
                  <a:rPr lang="en-US" sz="1200" baseline="0"/>
                  <a:t> Retained</a:t>
                </a:r>
                <a:endParaRPr lang="en-US" sz="1200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804260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711" l="0.70000000000000062" r="0.70000000000000062" t="0.750000000000007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chart" Target="../charts/chart23.xml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chart" Target="../charts/chart22.xml"/><Relationship Id="rId2" Type="http://schemas.openxmlformats.org/officeDocument/2006/relationships/image" Target="../media/image2.jpeg"/><Relationship Id="rId16" Type="http://schemas.openxmlformats.org/officeDocument/2006/relationships/chart" Target="../charts/chart21.xml"/><Relationship Id="rId1" Type="http://schemas.openxmlformats.org/officeDocument/2006/relationships/image" Target="../media/image1.em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chart" Target="../charts/chart20.xml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13" Type="http://schemas.openxmlformats.org/officeDocument/2006/relationships/chart" Target="../charts/chart15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17" Type="http://schemas.openxmlformats.org/officeDocument/2006/relationships/chart" Target="../charts/chart19.xml"/><Relationship Id="rId2" Type="http://schemas.openxmlformats.org/officeDocument/2006/relationships/chart" Target="../charts/chart4.xml"/><Relationship Id="rId16" Type="http://schemas.openxmlformats.org/officeDocument/2006/relationships/chart" Target="../charts/chart18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5" Type="http://schemas.openxmlformats.org/officeDocument/2006/relationships/chart" Target="../charts/chart7.xml"/><Relationship Id="rId15" Type="http://schemas.openxmlformats.org/officeDocument/2006/relationships/chart" Target="../charts/chart17.xml"/><Relationship Id="rId10" Type="http://schemas.openxmlformats.org/officeDocument/2006/relationships/chart" Target="../charts/chart12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Relationship Id="rId1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73</xdr:row>
      <xdr:rowOff>0</xdr:rowOff>
    </xdr:from>
    <xdr:to>
      <xdr:col>12</xdr:col>
      <xdr:colOff>458787</xdr:colOff>
      <xdr:row>99</xdr:row>
      <xdr:rowOff>154781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</cdr:x>
      <cdr:y>0.18576</cdr:y>
    </cdr:from>
    <cdr:to>
      <cdr:x>1</cdr:x>
      <cdr:y>0.5191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943350" y="50958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0.13167</cdr:x>
      <cdr:y>0.84375</cdr:y>
    </cdr:from>
    <cdr:to>
      <cdr:x>0.19208</cdr:x>
      <cdr:y>1</cdr:y>
    </cdr:to>
    <cdr:sp macro="" textlink="">
      <cdr:nvSpPr>
        <cdr:cNvPr id="7" name="TextBox 6"/>
        <cdr:cNvSpPr txBox="1"/>
      </cdr:nvSpPr>
      <cdr:spPr>
        <a:xfrm xmlns:a="http://schemas.openxmlformats.org/drawingml/2006/main" rot="16200000">
          <a:off x="855018" y="3340472"/>
          <a:ext cx="602754" cy="431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#200</a:t>
          </a:r>
        </a:p>
      </cdr:txBody>
    </cdr:sp>
  </cdr:relSizeAnchor>
  <cdr:relSizeAnchor xmlns:cdr="http://schemas.openxmlformats.org/drawingml/2006/chartDrawing">
    <cdr:from>
      <cdr:x>0.1802</cdr:x>
      <cdr:y>0.87901</cdr:y>
    </cdr:from>
    <cdr:to>
      <cdr:x>0.21733</cdr:x>
      <cdr:y>1</cdr:y>
    </cdr:to>
    <cdr:sp macro="" textlink="">
      <cdr:nvSpPr>
        <cdr:cNvPr id="8" name="TextBox 7"/>
        <cdr:cNvSpPr txBox="1"/>
      </cdr:nvSpPr>
      <cdr:spPr>
        <a:xfrm xmlns:a="http://schemas.openxmlformats.org/drawingml/2006/main" rot="16200000">
          <a:off x="1186577" y="3491627"/>
          <a:ext cx="466726" cy="2652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#100</a:t>
          </a:r>
        </a:p>
      </cdr:txBody>
    </cdr:sp>
  </cdr:relSizeAnchor>
  <cdr:relSizeAnchor xmlns:cdr="http://schemas.openxmlformats.org/drawingml/2006/chartDrawing">
    <cdr:from>
      <cdr:x>0.23941</cdr:x>
      <cdr:y>0.82986</cdr:y>
    </cdr:from>
    <cdr:to>
      <cdr:x>0.29358</cdr:x>
      <cdr:y>1</cdr:y>
    </cdr:to>
    <cdr:sp macro="" textlink="">
      <cdr:nvSpPr>
        <cdr:cNvPr id="9" name="TextBox 8"/>
        <cdr:cNvSpPr txBox="1"/>
      </cdr:nvSpPr>
      <cdr:spPr>
        <a:xfrm xmlns:a="http://schemas.openxmlformats.org/drawingml/2006/main" rot="16200000">
          <a:off x="1575606" y="3335969"/>
          <a:ext cx="656336" cy="386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#50</a:t>
          </a:r>
        </a:p>
      </cdr:txBody>
    </cdr:sp>
  </cdr:relSizeAnchor>
  <cdr:relSizeAnchor xmlns:cdr="http://schemas.openxmlformats.org/drawingml/2006/chartDrawing">
    <cdr:from>
      <cdr:x>0.2925</cdr:x>
      <cdr:y>0.84375</cdr:y>
    </cdr:from>
    <cdr:to>
      <cdr:x>0.35709</cdr:x>
      <cdr:y>1</cdr:y>
    </cdr:to>
    <cdr:sp macro="" textlink="">
      <cdr:nvSpPr>
        <cdr:cNvPr id="10" name="TextBox 9"/>
        <cdr:cNvSpPr txBox="1"/>
      </cdr:nvSpPr>
      <cdr:spPr>
        <a:xfrm xmlns:a="http://schemas.openxmlformats.org/drawingml/2006/main" rot="16200000">
          <a:off x="2018878" y="3325541"/>
          <a:ext cx="602754" cy="461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#30</a:t>
          </a:r>
        </a:p>
      </cdr:txBody>
    </cdr:sp>
  </cdr:relSizeAnchor>
  <cdr:relSizeAnchor xmlns:cdr="http://schemas.openxmlformats.org/drawingml/2006/chartDrawing">
    <cdr:from>
      <cdr:x>0.34604</cdr:x>
      <cdr:y>0.81424</cdr:y>
    </cdr:from>
    <cdr:to>
      <cdr:x>0.41062</cdr:x>
      <cdr:y>1</cdr:y>
    </cdr:to>
    <cdr:sp macro="" textlink="">
      <cdr:nvSpPr>
        <cdr:cNvPr id="11" name="TextBox 10"/>
        <cdr:cNvSpPr txBox="1"/>
      </cdr:nvSpPr>
      <cdr:spPr>
        <a:xfrm xmlns:a="http://schemas.openxmlformats.org/drawingml/2006/main" rot="16200000">
          <a:off x="2344422" y="3268657"/>
          <a:ext cx="716593" cy="461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#16</a:t>
          </a:r>
        </a:p>
      </cdr:txBody>
    </cdr:sp>
  </cdr:relSizeAnchor>
  <cdr:relSizeAnchor xmlns:cdr="http://schemas.openxmlformats.org/drawingml/2006/chartDrawing">
    <cdr:from>
      <cdr:x>0.39596</cdr:x>
      <cdr:y>0.84722</cdr:y>
    </cdr:from>
    <cdr:to>
      <cdr:x>0.46054</cdr:x>
      <cdr:y>1</cdr:y>
    </cdr:to>
    <cdr:sp macro="" textlink="">
      <cdr:nvSpPr>
        <cdr:cNvPr id="12" name="TextBox 11"/>
        <cdr:cNvSpPr txBox="1"/>
      </cdr:nvSpPr>
      <cdr:spPr>
        <a:xfrm xmlns:a="http://schemas.openxmlformats.org/drawingml/2006/main" rot="16200000">
          <a:off x="2764604" y="3332270"/>
          <a:ext cx="589368" cy="4613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#8</a:t>
          </a:r>
        </a:p>
      </cdr:txBody>
    </cdr:sp>
  </cdr:relSizeAnchor>
  <cdr:relSizeAnchor xmlns:cdr="http://schemas.openxmlformats.org/drawingml/2006/chartDrawing">
    <cdr:from>
      <cdr:x>0.44938</cdr:x>
      <cdr:y>0.86358</cdr:y>
    </cdr:from>
    <cdr:to>
      <cdr:x>0.54104</cdr:x>
      <cdr:y>0.999</cdr:y>
    </cdr:to>
    <cdr:sp macro="" textlink="">
      <cdr:nvSpPr>
        <cdr:cNvPr id="13" name="TextBox 12"/>
        <cdr:cNvSpPr txBox="1"/>
      </cdr:nvSpPr>
      <cdr:spPr>
        <a:xfrm xmlns:a="http://schemas.openxmlformats.org/drawingml/2006/main" rot="16200000">
          <a:off x="3276457" y="3265167"/>
          <a:ext cx="522400" cy="654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#4</a:t>
          </a:r>
        </a:p>
      </cdr:txBody>
    </cdr:sp>
  </cdr:relSizeAnchor>
  <cdr:relSizeAnchor xmlns:cdr="http://schemas.openxmlformats.org/drawingml/2006/chartDrawing">
    <cdr:from>
      <cdr:x>0.49775</cdr:x>
      <cdr:y>0.85764</cdr:y>
    </cdr:from>
    <cdr:to>
      <cdr:x>0.58316</cdr:x>
      <cdr:y>1</cdr:y>
    </cdr:to>
    <cdr:sp macro="" textlink="">
      <cdr:nvSpPr>
        <cdr:cNvPr id="14" name="TextBox 13"/>
        <cdr:cNvSpPr txBox="1"/>
      </cdr:nvSpPr>
      <cdr:spPr>
        <a:xfrm xmlns:a="http://schemas.openxmlformats.org/drawingml/2006/main" rot="16200000">
          <a:off x="3586314" y="3277966"/>
          <a:ext cx="549172" cy="610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3/8</a:t>
          </a:r>
        </a:p>
      </cdr:txBody>
    </cdr:sp>
  </cdr:relSizeAnchor>
  <cdr:relSizeAnchor xmlns:cdr="http://schemas.openxmlformats.org/drawingml/2006/chartDrawing">
    <cdr:from>
      <cdr:x>0.54996</cdr:x>
      <cdr:y>0.88194</cdr:y>
    </cdr:from>
    <cdr:to>
      <cdr:x>0.6208</cdr:x>
      <cdr:y>0.99653</cdr:y>
    </cdr:to>
    <cdr:sp macro="" textlink="">
      <cdr:nvSpPr>
        <cdr:cNvPr id="15" name="TextBox 14"/>
        <cdr:cNvSpPr txBox="1"/>
      </cdr:nvSpPr>
      <cdr:spPr>
        <a:xfrm xmlns:a="http://schemas.openxmlformats.org/drawingml/2006/main" rot="16200000">
          <a:off x="3960762" y="3370186"/>
          <a:ext cx="442045" cy="506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1/2</a:t>
          </a:r>
        </a:p>
      </cdr:txBody>
    </cdr:sp>
  </cdr:relSizeAnchor>
  <cdr:relSizeAnchor xmlns:cdr="http://schemas.openxmlformats.org/drawingml/2006/chartDrawing">
    <cdr:from>
      <cdr:x>0.59554</cdr:x>
      <cdr:y>0.89383</cdr:y>
    </cdr:from>
    <cdr:to>
      <cdr:x>0.63067</cdr:x>
      <cdr:y>0.99753</cdr:y>
    </cdr:to>
    <cdr:sp macro="" textlink="">
      <cdr:nvSpPr>
        <cdr:cNvPr id="16" name="TextBox 15"/>
        <cdr:cNvSpPr txBox="1"/>
      </cdr:nvSpPr>
      <cdr:spPr>
        <a:xfrm xmlns:a="http://schemas.openxmlformats.org/drawingml/2006/main" rot="16200000">
          <a:off x="4179821" y="3522595"/>
          <a:ext cx="400051" cy="25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3/4</a:t>
          </a:r>
        </a:p>
      </cdr:txBody>
    </cdr:sp>
  </cdr:relSizeAnchor>
  <cdr:relSizeAnchor xmlns:cdr="http://schemas.openxmlformats.org/drawingml/2006/chartDrawing">
    <cdr:from>
      <cdr:x>0.64683</cdr:x>
      <cdr:y>0.89877</cdr:y>
    </cdr:from>
    <cdr:to>
      <cdr:x>0.67733</cdr:x>
      <cdr:y>0.99753</cdr:y>
    </cdr:to>
    <cdr:sp macro="" textlink="">
      <cdr:nvSpPr>
        <cdr:cNvPr id="17" name="TextBox 16"/>
        <cdr:cNvSpPr txBox="1"/>
      </cdr:nvSpPr>
      <cdr:spPr>
        <a:xfrm xmlns:a="http://schemas.openxmlformats.org/drawingml/2006/main" rot="16200000">
          <a:off x="4539260" y="3548656"/>
          <a:ext cx="380998" cy="217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1in</a:t>
          </a:r>
        </a:p>
      </cdr:txBody>
    </cdr:sp>
  </cdr:relSizeAnchor>
  <cdr:relSizeAnchor xmlns:cdr="http://schemas.openxmlformats.org/drawingml/2006/chartDrawing">
    <cdr:from>
      <cdr:x>0.69655</cdr:x>
      <cdr:y>0.85679</cdr:y>
    </cdr:from>
    <cdr:to>
      <cdr:x>0.72933</cdr:x>
      <cdr:y>0.99012</cdr:y>
    </cdr:to>
    <cdr:sp macro="" textlink="">
      <cdr:nvSpPr>
        <cdr:cNvPr id="18" name="TextBox 17"/>
        <cdr:cNvSpPr txBox="1"/>
      </cdr:nvSpPr>
      <cdr:spPr>
        <a:xfrm xmlns:a="http://schemas.openxmlformats.org/drawingml/2006/main" rot="16200000">
          <a:off x="4835890" y="3445241"/>
          <a:ext cx="514351" cy="234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1 1/2</a:t>
          </a:r>
        </a:p>
      </cdr:txBody>
    </cdr:sp>
  </cdr:relSizeAnchor>
  <cdr:relSizeAnchor xmlns:cdr="http://schemas.openxmlformats.org/drawingml/2006/chartDrawing">
    <cdr:from>
      <cdr:x>0.82908</cdr:x>
      <cdr:y>0.90896</cdr:y>
    </cdr:from>
    <cdr:to>
      <cdr:x>0.98232</cdr:x>
      <cdr:y>0.99119</cdr:y>
    </cdr:to>
    <cdr:sp macro="" textlink="">
      <cdr:nvSpPr>
        <cdr:cNvPr id="57" name="TextBox 56"/>
        <cdr:cNvSpPr txBox="1"/>
      </cdr:nvSpPr>
      <cdr:spPr>
        <a:xfrm xmlns:a="http://schemas.openxmlformats.org/drawingml/2006/main">
          <a:off x="4019550" y="2947989"/>
          <a:ext cx="742951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/>
            <a:t>Sieve</a:t>
          </a:r>
          <a:r>
            <a:rPr lang="en-US" sz="1100" b="1" baseline="0"/>
            <a:t> No.</a:t>
          </a:r>
          <a:endParaRPr lang="en-US" sz="1100" b="1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</cdr:x>
      <cdr:y>0.18576</cdr:y>
    </cdr:from>
    <cdr:to>
      <cdr:x>1</cdr:x>
      <cdr:y>0.5191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943350" y="50958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0.13167</cdr:x>
      <cdr:y>0.84375</cdr:y>
    </cdr:from>
    <cdr:to>
      <cdr:x>0.19208</cdr:x>
      <cdr:y>1</cdr:y>
    </cdr:to>
    <cdr:sp macro="" textlink="">
      <cdr:nvSpPr>
        <cdr:cNvPr id="7" name="TextBox 6"/>
        <cdr:cNvSpPr txBox="1"/>
      </cdr:nvSpPr>
      <cdr:spPr>
        <a:xfrm xmlns:a="http://schemas.openxmlformats.org/drawingml/2006/main" rot="16200000">
          <a:off x="855018" y="3340472"/>
          <a:ext cx="602754" cy="431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#200</a:t>
          </a:r>
        </a:p>
      </cdr:txBody>
    </cdr:sp>
  </cdr:relSizeAnchor>
  <cdr:relSizeAnchor xmlns:cdr="http://schemas.openxmlformats.org/drawingml/2006/chartDrawing">
    <cdr:from>
      <cdr:x>0.1802</cdr:x>
      <cdr:y>0.87901</cdr:y>
    </cdr:from>
    <cdr:to>
      <cdr:x>0.21733</cdr:x>
      <cdr:y>1</cdr:y>
    </cdr:to>
    <cdr:sp macro="" textlink="">
      <cdr:nvSpPr>
        <cdr:cNvPr id="8" name="TextBox 7"/>
        <cdr:cNvSpPr txBox="1"/>
      </cdr:nvSpPr>
      <cdr:spPr>
        <a:xfrm xmlns:a="http://schemas.openxmlformats.org/drawingml/2006/main" rot="16200000">
          <a:off x="1186577" y="3491627"/>
          <a:ext cx="466726" cy="2652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#100</a:t>
          </a:r>
        </a:p>
      </cdr:txBody>
    </cdr:sp>
  </cdr:relSizeAnchor>
  <cdr:relSizeAnchor xmlns:cdr="http://schemas.openxmlformats.org/drawingml/2006/chartDrawing">
    <cdr:from>
      <cdr:x>0.23941</cdr:x>
      <cdr:y>0.82986</cdr:y>
    </cdr:from>
    <cdr:to>
      <cdr:x>0.29358</cdr:x>
      <cdr:y>1</cdr:y>
    </cdr:to>
    <cdr:sp macro="" textlink="">
      <cdr:nvSpPr>
        <cdr:cNvPr id="9" name="TextBox 8"/>
        <cdr:cNvSpPr txBox="1"/>
      </cdr:nvSpPr>
      <cdr:spPr>
        <a:xfrm xmlns:a="http://schemas.openxmlformats.org/drawingml/2006/main" rot="16200000">
          <a:off x="1575606" y="3335969"/>
          <a:ext cx="656336" cy="386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#50</a:t>
          </a:r>
        </a:p>
      </cdr:txBody>
    </cdr:sp>
  </cdr:relSizeAnchor>
  <cdr:relSizeAnchor xmlns:cdr="http://schemas.openxmlformats.org/drawingml/2006/chartDrawing">
    <cdr:from>
      <cdr:x>0.2925</cdr:x>
      <cdr:y>0.84375</cdr:y>
    </cdr:from>
    <cdr:to>
      <cdr:x>0.35709</cdr:x>
      <cdr:y>1</cdr:y>
    </cdr:to>
    <cdr:sp macro="" textlink="">
      <cdr:nvSpPr>
        <cdr:cNvPr id="10" name="TextBox 9"/>
        <cdr:cNvSpPr txBox="1"/>
      </cdr:nvSpPr>
      <cdr:spPr>
        <a:xfrm xmlns:a="http://schemas.openxmlformats.org/drawingml/2006/main" rot="16200000">
          <a:off x="2018878" y="3325541"/>
          <a:ext cx="602754" cy="461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#30</a:t>
          </a:r>
        </a:p>
      </cdr:txBody>
    </cdr:sp>
  </cdr:relSizeAnchor>
  <cdr:relSizeAnchor xmlns:cdr="http://schemas.openxmlformats.org/drawingml/2006/chartDrawing">
    <cdr:from>
      <cdr:x>0.34604</cdr:x>
      <cdr:y>0.81424</cdr:y>
    </cdr:from>
    <cdr:to>
      <cdr:x>0.41062</cdr:x>
      <cdr:y>1</cdr:y>
    </cdr:to>
    <cdr:sp macro="" textlink="">
      <cdr:nvSpPr>
        <cdr:cNvPr id="11" name="TextBox 10"/>
        <cdr:cNvSpPr txBox="1"/>
      </cdr:nvSpPr>
      <cdr:spPr>
        <a:xfrm xmlns:a="http://schemas.openxmlformats.org/drawingml/2006/main" rot="16200000">
          <a:off x="2344422" y="3268657"/>
          <a:ext cx="716593" cy="461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#16</a:t>
          </a:r>
        </a:p>
      </cdr:txBody>
    </cdr:sp>
  </cdr:relSizeAnchor>
  <cdr:relSizeAnchor xmlns:cdr="http://schemas.openxmlformats.org/drawingml/2006/chartDrawing">
    <cdr:from>
      <cdr:x>0.39596</cdr:x>
      <cdr:y>0.84722</cdr:y>
    </cdr:from>
    <cdr:to>
      <cdr:x>0.46054</cdr:x>
      <cdr:y>1</cdr:y>
    </cdr:to>
    <cdr:sp macro="" textlink="">
      <cdr:nvSpPr>
        <cdr:cNvPr id="12" name="TextBox 11"/>
        <cdr:cNvSpPr txBox="1"/>
      </cdr:nvSpPr>
      <cdr:spPr>
        <a:xfrm xmlns:a="http://schemas.openxmlformats.org/drawingml/2006/main" rot="16200000">
          <a:off x="2764604" y="3332270"/>
          <a:ext cx="589368" cy="4613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#8</a:t>
          </a:r>
        </a:p>
      </cdr:txBody>
    </cdr:sp>
  </cdr:relSizeAnchor>
  <cdr:relSizeAnchor xmlns:cdr="http://schemas.openxmlformats.org/drawingml/2006/chartDrawing">
    <cdr:from>
      <cdr:x>0.44938</cdr:x>
      <cdr:y>0.86358</cdr:y>
    </cdr:from>
    <cdr:to>
      <cdr:x>0.54104</cdr:x>
      <cdr:y>0.999</cdr:y>
    </cdr:to>
    <cdr:sp macro="" textlink="">
      <cdr:nvSpPr>
        <cdr:cNvPr id="13" name="TextBox 12"/>
        <cdr:cNvSpPr txBox="1"/>
      </cdr:nvSpPr>
      <cdr:spPr>
        <a:xfrm xmlns:a="http://schemas.openxmlformats.org/drawingml/2006/main" rot="16200000">
          <a:off x="3276457" y="3265167"/>
          <a:ext cx="522400" cy="654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#4</a:t>
          </a:r>
        </a:p>
      </cdr:txBody>
    </cdr:sp>
  </cdr:relSizeAnchor>
  <cdr:relSizeAnchor xmlns:cdr="http://schemas.openxmlformats.org/drawingml/2006/chartDrawing">
    <cdr:from>
      <cdr:x>0.49775</cdr:x>
      <cdr:y>0.85764</cdr:y>
    </cdr:from>
    <cdr:to>
      <cdr:x>0.58316</cdr:x>
      <cdr:y>1</cdr:y>
    </cdr:to>
    <cdr:sp macro="" textlink="">
      <cdr:nvSpPr>
        <cdr:cNvPr id="14" name="TextBox 13"/>
        <cdr:cNvSpPr txBox="1"/>
      </cdr:nvSpPr>
      <cdr:spPr>
        <a:xfrm xmlns:a="http://schemas.openxmlformats.org/drawingml/2006/main" rot="16200000">
          <a:off x="3586314" y="3277966"/>
          <a:ext cx="549172" cy="610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3/8</a:t>
          </a:r>
        </a:p>
      </cdr:txBody>
    </cdr:sp>
  </cdr:relSizeAnchor>
  <cdr:relSizeAnchor xmlns:cdr="http://schemas.openxmlformats.org/drawingml/2006/chartDrawing">
    <cdr:from>
      <cdr:x>0.54996</cdr:x>
      <cdr:y>0.88194</cdr:y>
    </cdr:from>
    <cdr:to>
      <cdr:x>0.6208</cdr:x>
      <cdr:y>0.99653</cdr:y>
    </cdr:to>
    <cdr:sp macro="" textlink="">
      <cdr:nvSpPr>
        <cdr:cNvPr id="15" name="TextBox 14"/>
        <cdr:cNvSpPr txBox="1"/>
      </cdr:nvSpPr>
      <cdr:spPr>
        <a:xfrm xmlns:a="http://schemas.openxmlformats.org/drawingml/2006/main" rot="16200000">
          <a:off x="3960762" y="3370186"/>
          <a:ext cx="442045" cy="506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1/2</a:t>
          </a:r>
        </a:p>
      </cdr:txBody>
    </cdr:sp>
  </cdr:relSizeAnchor>
  <cdr:relSizeAnchor xmlns:cdr="http://schemas.openxmlformats.org/drawingml/2006/chartDrawing">
    <cdr:from>
      <cdr:x>0.59554</cdr:x>
      <cdr:y>0.89383</cdr:y>
    </cdr:from>
    <cdr:to>
      <cdr:x>0.63067</cdr:x>
      <cdr:y>0.99753</cdr:y>
    </cdr:to>
    <cdr:sp macro="" textlink="">
      <cdr:nvSpPr>
        <cdr:cNvPr id="16" name="TextBox 15"/>
        <cdr:cNvSpPr txBox="1"/>
      </cdr:nvSpPr>
      <cdr:spPr>
        <a:xfrm xmlns:a="http://schemas.openxmlformats.org/drawingml/2006/main" rot="16200000">
          <a:off x="4179821" y="3522595"/>
          <a:ext cx="400051" cy="25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3/4</a:t>
          </a:r>
        </a:p>
      </cdr:txBody>
    </cdr:sp>
  </cdr:relSizeAnchor>
  <cdr:relSizeAnchor xmlns:cdr="http://schemas.openxmlformats.org/drawingml/2006/chartDrawing">
    <cdr:from>
      <cdr:x>0.64683</cdr:x>
      <cdr:y>0.89877</cdr:y>
    </cdr:from>
    <cdr:to>
      <cdr:x>0.67733</cdr:x>
      <cdr:y>0.99753</cdr:y>
    </cdr:to>
    <cdr:sp macro="" textlink="">
      <cdr:nvSpPr>
        <cdr:cNvPr id="17" name="TextBox 16"/>
        <cdr:cNvSpPr txBox="1"/>
      </cdr:nvSpPr>
      <cdr:spPr>
        <a:xfrm xmlns:a="http://schemas.openxmlformats.org/drawingml/2006/main" rot="16200000">
          <a:off x="4539260" y="3548656"/>
          <a:ext cx="380998" cy="217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1in</a:t>
          </a:r>
        </a:p>
      </cdr:txBody>
    </cdr:sp>
  </cdr:relSizeAnchor>
  <cdr:relSizeAnchor xmlns:cdr="http://schemas.openxmlformats.org/drawingml/2006/chartDrawing">
    <cdr:from>
      <cdr:x>0.69655</cdr:x>
      <cdr:y>0.85679</cdr:y>
    </cdr:from>
    <cdr:to>
      <cdr:x>0.72933</cdr:x>
      <cdr:y>0.99012</cdr:y>
    </cdr:to>
    <cdr:sp macro="" textlink="">
      <cdr:nvSpPr>
        <cdr:cNvPr id="18" name="TextBox 17"/>
        <cdr:cNvSpPr txBox="1"/>
      </cdr:nvSpPr>
      <cdr:spPr>
        <a:xfrm xmlns:a="http://schemas.openxmlformats.org/drawingml/2006/main" rot="16200000">
          <a:off x="4835890" y="3445241"/>
          <a:ext cx="514351" cy="234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1 1/2</a:t>
          </a:r>
        </a:p>
      </cdr:txBody>
    </cdr:sp>
  </cdr:relSizeAnchor>
  <cdr:relSizeAnchor xmlns:cdr="http://schemas.openxmlformats.org/drawingml/2006/chartDrawing">
    <cdr:from>
      <cdr:x>0.82908</cdr:x>
      <cdr:y>0.90896</cdr:y>
    </cdr:from>
    <cdr:to>
      <cdr:x>0.98232</cdr:x>
      <cdr:y>0.99119</cdr:y>
    </cdr:to>
    <cdr:sp macro="" textlink="">
      <cdr:nvSpPr>
        <cdr:cNvPr id="57" name="TextBox 56"/>
        <cdr:cNvSpPr txBox="1"/>
      </cdr:nvSpPr>
      <cdr:spPr>
        <a:xfrm xmlns:a="http://schemas.openxmlformats.org/drawingml/2006/main">
          <a:off x="4019550" y="2947989"/>
          <a:ext cx="742951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/>
            <a:t>Sieve</a:t>
          </a:r>
          <a:r>
            <a:rPr lang="en-US" sz="1100" b="1" baseline="0"/>
            <a:t> No.</a:t>
          </a:r>
          <a:endParaRPr lang="en-US" sz="1100" b="1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</cdr:x>
      <cdr:y>0.18576</cdr:y>
    </cdr:from>
    <cdr:to>
      <cdr:x>1</cdr:x>
      <cdr:y>0.5191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943350" y="50958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0.13167</cdr:x>
      <cdr:y>0.84375</cdr:y>
    </cdr:from>
    <cdr:to>
      <cdr:x>0.19208</cdr:x>
      <cdr:y>1</cdr:y>
    </cdr:to>
    <cdr:sp macro="" textlink="">
      <cdr:nvSpPr>
        <cdr:cNvPr id="7" name="TextBox 6"/>
        <cdr:cNvSpPr txBox="1"/>
      </cdr:nvSpPr>
      <cdr:spPr>
        <a:xfrm xmlns:a="http://schemas.openxmlformats.org/drawingml/2006/main" rot="16200000">
          <a:off x="855018" y="3340472"/>
          <a:ext cx="602754" cy="431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#200</a:t>
          </a:r>
        </a:p>
      </cdr:txBody>
    </cdr:sp>
  </cdr:relSizeAnchor>
  <cdr:relSizeAnchor xmlns:cdr="http://schemas.openxmlformats.org/drawingml/2006/chartDrawing">
    <cdr:from>
      <cdr:x>0.1802</cdr:x>
      <cdr:y>0.87901</cdr:y>
    </cdr:from>
    <cdr:to>
      <cdr:x>0.21733</cdr:x>
      <cdr:y>1</cdr:y>
    </cdr:to>
    <cdr:sp macro="" textlink="">
      <cdr:nvSpPr>
        <cdr:cNvPr id="8" name="TextBox 7"/>
        <cdr:cNvSpPr txBox="1"/>
      </cdr:nvSpPr>
      <cdr:spPr>
        <a:xfrm xmlns:a="http://schemas.openxmlformats.org/drawingml/2006/main" rot="16200000">
          <a:off x="1186577" y="3491627"/>
          <a:ext cx="466726" cy="2652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#100</a:t>
          </a:r>
        </a:p>
      </cdr:txBody>
    </cdr:sp>
  </cdr:relSizeAnchor>
  <cdr:relSizeAnchor xmlns:cdr="http://schemas.openxmlformats.org/drawingml/2006/chartDrawing">
    <cdr:from>
      <cdr:x>0.23941</cdr:x>
      <cdr:y>0.82986</cdr:y>
    </cdr:from>
    <cdr:to>
      <cdr:x>0.29358</cdr:x>
      <cdr:y>1</cdr:y>
    </cdr:to>
    <cdr:sp macro="" textlink="">
      <cdr:nvSpPr>
        <cdr:cNvPr id="9" name="TextBox 8"/>
        <cdr:cNvSpPr txBox="1"/>
      </cdr:nvSpPr>
      <cdr:spPr>
        <a:xfrm xmlns:a="http://schemas.openxmlformats.org/drawingml/2006/main" rot="16200000">
          <a:off x="1575606" y="3335969"/>
          <a:ext cx="656336" cy="386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#50</a:t>
          </a:r>
        </a:p>
      </cdr:txBody>
    </cdr:sp>
  </cdr:relSizeAnchor>
  <cdr:relSizeAnchor xmlns:cdr="http://schemas.openxmlformats.org/drawingml/2006/chartDrawing">
    <cdr:from>
      <cdr:x>0.2925</cdr:x>
      <cdr:y>0.84375</cdr:y>
    </cdr:from>
    <cdr:to>
      <cdr:x>0.35709</cdr:x>
      <cdr:y>1</cdr:y>
    </cdr:to>
    <cdr:sp macro="" textlink="">
      <cdr:nvSpPr>
        <cdr:cNvPr id="10" name="TextBox 9"/>
        <cdr:cNvSpPr txBox="1"/>
      </cdr:nvSpPr>
      <cdr:spPr>
        <a:xfrm xmlns:a="http://schemas.openxmlformats.org/drawingml/2006/main" rot="16200000">
          <a:off x="2018878" y="3325541"/>
          <a:ext cx="602754" cy="461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#30</a:t>
          </a:r>
        </a:p>
      </cdr:txBody>
    </cdr:sp>
  </cdr:relSizeAnchor>
  <cdr:relSizeAnchor xmlns:cdr="http://schemas.openxmlformats.org/drawingml/2006/chartDrawing">
    <cdr:from>
      <cdr:x>0.34604</cdr:x>
      <cdr:y>0.81424</cdr:y>
    </cdr:from>
    <cdr:to>
      <cdr:x>0.41062</cdr:x>
      <cdr:y>1</cdr:y>
    </cdr:to>
    <cdr:sp macro="" textlink="">
      <cdr:nvSpPr>
        <cdr:cNvPr id="11" name="TextBox 10"/>
        <cdr:cNvSpPr txBox="1"/>
      </cdr:nvSpPr>
      <cdr:spPr>
        <a:xfrm xmlns:a="http://schemas.openxmlformats.org/drawingml/2006/main" rot="16200000">
          <a:off x="2344422" y="3268657"/>
          <a:ext cx="716593" cy="461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#16</a:t>
          </a:r>
        </a:p>
      </cdr:txBody>
    </cdr:sp>
  </cdr:relSizeAnchor>
  <cdr:relSizeAnchor xmlns:cdr="http://schemas.openxmlformats.org/drawingml/2006/chartDrawing">
    <cdr:from>
      <cdr:x>0.39596</cdr:x>
      <cdr:y>0.84722</cdr:y>
    </cdr:from>
    <cdr:to>
      <cdr:x>0.46054</cdr:x>
      <cdr:y>1</cdr:y>
    </cdr:to>
    <cdr:sp macro="" textlink="">
      <cdr:nvSpPr>
        <cdr:cNvPr id="12" name="TextBox 11"/>
        <cdr:cNvSpPr txBox="1"/>
      </cdr:nvSpPr>
      <cdr:spPr>
        <a:xfrm xmlns:a="http://schemas.openxmlformats.org/drawingml/2006/main" rot="16200000">
          <a:off x="2764604" y="3332270"/>
          <a:ext cx="589368" cy="4613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#8</a:t>
          </a:r>
        </a:p>
      </cdr:txBody>
    </cdr:sp>
  </cdr:relSizeAnchor>
  <cdr:relSizeAnchor xmlns:cdr="http://schemas.openxmlformats.org/drawingml/2006/chartDrawing">
    <cdr:from>
      <cdr:x>0.44938</cdr:x>
      <cdr:y>0.86358</cdr:y>
    </cdr:from>
    <cdr:to>
      <cdr:x>0.54104</cdr:x>
      <cdr:y>0.999</cdr:y>
    </cdr:to>
    <cdr:sp macro="" textlink="">
      <cdr:nvSpPr>
        <cdr:cNvPr id="13" name="TextBox 12"/>
        <cdr:cNvSpPr txBox="1"/>
      </cdr:nvSpPr>
      <cdr:spPr>
        <a:xfrm xmlns:a="http://schemas.openxmlformats.org/drawingml/2006/main" rot="16200000">
          <a:off x="3276457" y="3265167"/>
          <a:ext cx="522400" cy="654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#4</a:t>
          </a:r>
        </a:p>
      </cdr:txBody>
    </cdr:sp>
  </cdr:relSizeAnchor>
  <cdr:relSizeAnchor xmlns:cdr="http://schemas.openxmlformats.org/drawingml/2006/chartDrawing">
    <cdr:from>
      <cdr:x>0.49775</cdr:x>
      <cdr:y>0.85764</cdr:y>
    </cdr:from>
    <cdr:to>
      <cdr:x>0.58316</cdr:x>
      <cdr:y>1</cdr:y>
    </cdr:to>
    <cdr:sp macro="" textlink="">
      <cdr:nvSpPr>
        <cdr:cNvPr id="14" name="TextBox 13"/>
        <cdr:cNvSpPr txBox="1"/>
      </cdr:nvSpPr>
      <cdr:spPr>
        <a:xfrm xmlns:a="http://schemas.openxmlformats.org/drawingml/2006/main" rot="16200000">
          <a:off x="3586314" y="3277966"/>
          <a:ext cx="549172" cy="610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3/8</a:t>
          </a:r>
        </a:p>
      </cdr:txBody>
    </cdr:sp>
  </cdr:relSizeAnchor>
  <cdr:relSizeAnchor xmlns:cdr="http://schemas.openxmlformats.org/drawingml/2006/chartDrawing">
    <cdr:from>
      <cdr:x>0.54996</cdr:x>
      <cdr:y>0.88194</cdr:y>
    </cdr:from>
    <cdr:to>
      <cdr:x>0.6208</cdr:x>
      <cdr:y>0.99653</cdr:y>
    </cdr:to>
    <cdr:sp macro="" textlink="">
      <cdr:nvSpPr>
        <cdr:cNvPr id="15" name="TextBox 14"/>
        <cdr:cNvSpPr txBox="1"/>
      </cdr:nvSpPr>
      <cdr:spPr>
        <a:xfrm xmlns:a="http://schemas.openxmlformats.org/drawingml/2006/main" rot="16200000">
          <a:off x="3960762" y="3370186"/>
          <a:ext cx="442045" cy="506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1/2</a:t>
          </a:r>
        </a:p>
      </cdr:txBody>
    </cdr:sp>
  </cdr:relSizeAnchor>
  <cdr:relSizeAnchor xmlns:cdr="http://schemas.openxmlformats.org/drawingml/2006/chartDrawing">
    <cdr:from>
      <cdr:x>0.59554</cdr:x>
      <cdr:y>0.89383</cdr:y>
    </cdr:from>
    <cdr:to>
      <cdr:x>0.63067</cdr:x>
      <cdr:y>0.99753</cdr:y>
    </cdr:to>
    <cdr:sp macro="" textlink="">
      <cdr:nvSpPr>
        <cdr:cNvPr id="16" name="TextBox 15"/>
        <cdr:cNvSpPr txBox="1"/>
      </cdr:nvSpPr>
      <cdr:spPr>
        <a:xfrm xmlns:a="http://schemas.openxmlformats.org/drawingml/2006/main" rot="16200000">
          <a:off x="4179821" y="3522595"/>
          <a:ext cx="400051" cy="25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3/4</a:t>
          </a:r>
        </a:p>
      </cdr:txBody>
    </cdr:sp>
  </cdr:relSizeAnchor>
  <cdr:relSizeAnchor xmlns:cdr="http://schemas.openxmlformats.org/drawingml/2006/chartDrawing">
    <cdr:from>
      <cdr:x>0.64683</cdr:x>
      <cdr:y>0.89877</cdr:y>
    </cdr:from>
    <cdr:to>
      <cdr:x>0.67733</cdr:x>
      <cdr:y>0.99753</cdr:y>
    </cdr:to>
    <cdr:sp macro="" textlink="">
      <cdr:nvSpPr>
        <cdr:cNvPr id="17" name="TextBox 16"/>
        <cdr:cNvSpPr txBox="1"/>
      </cdr:nvSpPr>
      <cdr:spPr>
        <a:xfrm xmlns:a="http://schemas.openxmlformats.org/drawingml/2006/main" rot="16200000">
          <a:off x="4539260" y="3548656"/>
          <a:ext cx="380998" cy="217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1in</a:t>
          </a:r>
        </a:p>
      </cdr:txBody>
    </cdr:sp>
  </cdr:relSizeAnchor>
  <cdr:relSizeAnchor xmlns:cdr="http://schemas.openxmlformats.org/drawingml/2006/chartDrawing">
    <cdr:from>
      <cdr:x>0.69655</cdr:x>
      <cdr:y>0.85679</cdr:y>
    </cdr:from>
    <cdr:to>
      <cdr:x>0.72933</cdr:x>
      <cdr:y>0.99012</cdr:y>
    </cdr:to>
    <cdr:sp macro="" textlink="">
      <cdr:nvSpPr>
        <cdr:cNvPr id="18" name="TextBox 17"/>
        <cdr:cNvSpPr txBox="1"/>
      </cdr:nvSpPr>
      <cdr:spPr>
        <a:xfrm xmlns:a="http://schemas.openxmlformats.org/drawingml/2006/main" rot="16200000">
          <a:off x="4835890" y="3445241"/>
          <a:ext cx="514351" cy="234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1 1/2</a:t>
          </a:r>
        </a:p>
      </cdr:txBody>
    </cdr:sp>
  </cdr:relSizeAnchor>
  <cdr:relSizeAnchor xmlns:cdr="http://schemas.openxmlformats.org/drawingml/2006/chartDrawing">
    <cdr:from>
      <cdr:x>0.82908</cdr:x>
      <cdr:y>0.90896</cdr:y>
    </cdr:from>
    <cdr:to>
      <cdr:x>0.98232</cdr:x>
      <cdr:y>0.99119</cdr:y>
    </cdr:to>
    <cdr:sp macro="" textlink="">
      <cdr:nvSpPr>
        <cdr:cNvPr id="57" name="TextBox 56"/>
        <cdr:cNvSpPr txBox="1"/>
      </cdr:nvSpPr>
      <cdr:spPr>
        <a:xfrm xmlns:a="http://schemas.openxmlformats.org/drawingml/2006/main">
          <a:off x="4019550" y="2947989"/>
          <a:ext cx="742951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/>
            <a:t>Sieve</a:t>
          </a:r>
          <a:r>
            <a:rPr lang="en-US" sz="1100" b="1" baseline="0"/>
            <a:t> No.</a:t>
          </a:r>
          <a:endParaRPr lang="en-US" sz="1100" b="1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</cdr:x>
      <cdr:y>0.18576</cdr:y>
    </cdr:from>
    <cdr:to>
      <cdr:x>1</cdr:x>
      <cdr:y>0.5191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943350" y="50958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0.13167</cdr:x>
      <cdr:y>0.84375</cdr:y>
    </cdr:from>
    <cdr:to>
      <cdr:x>0.19208</cdr:x>
      <cdr:y>1</cdr:y>
    </cdr:to>
    <cdr:sp macro="" textlink="">
      <cdr:nvSpPr>
        <cdr:cNvPr id="7" name="TextBox 6"/>
        <cdr:cNvSpPr txBox="1"/>
      </cdr:nvSpPr>
      <cdr:spPr>
        <a:xfrm xmlns:a="http://schemas.openxmlformats.org/drawingml/2006/main" rot="16200000">
          <a:off x="855018" y="3340472"/>
          <a:ext cx="602754" cy="431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#200</a:t>
          </a:r>
        </a:p>
      </cdr:txBody>
    </cdr:sp>
  </cdr:relSizeAnchor>
  <cdr:relSizeAnchor xmlns:cdr="http://schemas.openxmlformats.org/drawingml/2006/chartDrawing">
    <cdr:from>
      <cdr:x>0.1802</cdr:x>
      <cdr:y>0.87901</cdr:y>
    </cdr:from>
    <cdr:to>
      <cdr:x>0.21733</cdr:x>
      <cdr:y>1</cdr:y>
    </cdr:to>
    <cdr:sp macro="" textlink="">
      <cdr:nvSpPr>
        <cdr:cNvPr id="8" name="TextBox 7"/>
        <cdr:cNvSpPr txBox="1"/>
      </cdr:nvSpPr>
      <cdr:spPr>
        <a:xfrm xmlns:a="http://schemas.openxmlformats.org/drawingml/2006/main" rot="16200000">
          <a:off x="1186577" y="3491627"/>
          <a:ext cx="466726" cy="2652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#100</a:t>
          </a:r>
        </a:p>
      </cdr:txBody>
    </cdr:sp>
  </cdr:relSizeAnchor>
  <cdr:relSizeAnchor xmlns:cdr="http://schemas.openxmlformats.org/drawingml/2006/chartDrawing">
    <cdr:from>
      <cdr:x>0.23941</cdr:x>
      <cdr:y>0.82986</cdr:y>
    </cdr:from>
    <cdr:to>
      <cdr:x>0.29358</cdr:x>
      <cdr:y>1</cdr:y>
    </cdr:to>
    <cdr:sp macro="" textlink="">
      <cdr:nvSpPr>
        <cdr:cNvPr id="9" name="TextBox 8"/>
        <cdr:cNvSpPr txBox="1"/>
      </cdr:nvSpPr>
      <cdr:spPr>
        <a:xfrm xmlns:a="http://schemas.openxmlformats.org/drawingml/2006/main" rot="16200000">
          <a:off x="1575606" y="3335969"/>
          <a:ext cx="656336" cy="386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#50</a:t>
          </a:r>
        </a:p>
      </cdr:txBody>
    </cdr:sp>
  </cdr:relSizeAnchor>
  <cdr:relSizeAnchor xmlns:cdr="http://schemas.openxmlformats.org/drawingml/2006/chartDrawing">
    <cdr:from>
      <cdr:x>0.2925</cdr:x>
      <cdr:y>0.84375</cdr:y>
    </cdr:from>
    <cdr:to>
      <cdr:x>0.35709</cdr:x>
      <cdr:y>1</cdr:y>
    </cdr:to>
    <cdr:sp macro="" textlink="">
      <cdr:nvSpPr>
        <cdr:cNvPr id="10" name="TextBox 9"/>
        <cdr:cNvSpPr txBox="1"/>
      </cdr:nvSpPr>
      <cdr:spPr>
        <a:xfrm xmlns:a="http://schemas.openxmlformats.org/drawingml/2006/main" rot="16200000">
          <a:off x="2018878" y="3325541"/>
          <a:ext cx="602754" cy="461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#30</a:t>
          </a:r>
        </a:p>
      </cdr:txBody>
    </cdr:sp>
  </cdr:relSizeAnchor>
  <cdr:relSizeAnchor xmlns:cdr="http://schemas.openxmlformats.org/drawingml/2006/chartDrawing">
    <cdr:from>
      <cdr:x>0.34604</cdr:x>
      <cdr:y>0.81424</cdr:y>
    </cdr:from>
    <cdr:to>
      <cdr:x>0.41062</cdr:x>
      <cdr:y>1</cdr:y>
    </cdr:to>
    <cdr:sp macro="" textlink="">
      <cdr:nvSpPr>
        <cdr:cNvPr id="11" name="TextBox 10"/>
        <cdr:cNvSpPr txBox="1"/>
      </cdr:nvSpPr>
      <cdr:spPr>
        <a:xfrm xmlns:a="http://schemas.openxmlformats.org/drawingml/2006/main" rot="16200000">
          <a:off x="2344422" y="3268657"/>
          <a:ext cx="716593" cy="461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#16</a:t>
          </a:r>
        </a:p>
      </cdr:txBody>
    </cdr:sp>
  </cdr:relSizeAnchor>
  <cdr:relSizeAnchor xmlns:cdr="http://schemas.openxmlformats.org/drawingml/2006/chartDrawing">
    <cdr:from>
      <cdr:x>0.39596</cdr:x>
      <cdr:y>0.84722</cdr:y>
    </cdr:from>
    <cdr:to>
      <cdr:x>0.46054</cdr:x>
      <cdr:y>1</cdr:y>
    </cdr:to>
    <cdr:sp macro="" textlink="">
      <cdr:nvSpPr>
        <cdr:cNvPr id="12" name="TextBox 11"/>
        <cdr:cNvSpPr txBox="1"/>
      </cdr:nvSpPr>
      <cdr:spPr>
        <a:xfrm xmlns:a="http://schemas.openxmlformats.org/drawingml/2006/main" rot="16200000">
          <a:off x="2764604" y="3332270"/>
          <a:ext cx="589368" cy="4613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#8</a:t>
          </a:r>
        </a:p>
      </cdr:txBody>
    </cdr:sp>
  </cdr:relSizeAnchor>
  <cdr:relSizeAnchor xmlns:cdr="http://schemas.openxmlformats.org/drawingml/2006/chartDrawing">
    <cdr:from>
      <cdr:x>0.44938</cdr:x>
      <cdr:y>0.86358</cdr:y>
    </cdr:from>
    <cdr:to>
      <cdr:x>0.54104</cdr:x>
      <cdr:y>0.999</cdr:y>
    </cdr:to>
    <cdr:sp macro="" textlink="">
      <cdr:nvSpPr>
        <cdr:cNvPr id="13" name="TextBox 12"/>
        <cdr:cNvSpPr txBox="1"/>
      </cdr:nvSpPr>
      <cdr:spPr>
        <a:xfrm xmlns:a="http://schemas.openxmlformats.org/drawingml/2006/main" rot="16200000">
          <a:off x="3276457" y="3265167"/>
          <a:ext cx="522400" cy="654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#4</a:t>
          </a:r>
        </a:p>
      </cdr:txBody>
    </cdr:sp>
  </cdr:relSizeAnchor>
  <cdr:relSizeAnchor xmlns:cdr="http://schemas.openxmlformats.org/drawingml/2006/chartDrawing">
    <cdr:from>
      <cdr:x>0.49775</cdr:x>
      <cdr:y>0.85764</cdr:y>
    </cdr:from>
    <cdr:to>
      <cdr:x>0.58316</cdr:x>
      <cdr:y>1</cdr:y>
    </cdr:to>
    <cdr:sp macro="" textlink="">
      <cdr:nvSpPr>
        <cdr:cNvPr id="14" name="TextBox 13"/>
        <cdr:cNvSpPr txBox="1"/>
      </cdr:nvSpPr>
      <cdr:spPr>
        <a:xfrm xmlns:a="http://schemas.openxmlformats.org/drawingml/2006/main" rot="16200000">
          <a:off x="3586314" y="3277966"/>
          <a:ext cx="549172" cy="610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3/8</a:t>
          </a:r>
        </a:p>
      </cdr:txBody>
    </cdr:sp>
  </cdr:relSizeAnchor>
  <cdr:relSizeAnchor xmlns:cdr="http://schemas.openxmlformats.org/drawingml/2006/chartDrawing">
    <cdr:from>
      <cdr:x>0.54996</cdr:x>
      <cdr:y>0.88194</cdr:y>
    </cdr:from>
    <cdr:to>
      <cdr:x>0.6208</cdr:x>
      <cdr:y>0.99653</cdr:y>
    </cdr:to>
    <cdr:sp macro="" textlink="">
      <cdr:nvSpPr>
        <cdr:cNvPr id="15" name="TextBox 14"/>
        <cdr:cNvSpPr txBox="1"/>
      </cdr:nvSpPr>
      <cdr:spPr>
        <a:xfrm xmlns:a="http://schemas.openxmlformats.org/drawingml/2006/main" rot="16200000">
          <a:off x="3960762" y="3370186"/>
          <a:ext cx="442045" cy="506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1/2</a:t>
          </a:r>
        </a:p>
      </cdr:txBody>
    </cdr:sp>
  </cdr:relSizeAnchor>
  <cdr:relSizeAnchor xmlns:cdr="http://schemas.openxmlformats.org/drawingml/2006/chartDrawing">
    <cdr:from>
      <cdr:x>0.59554</cdr:x>
      <cdr:y>0.89383</cdr:y>
    </cdr:from>
    <cdr:to>
      <cdr:x>0.63067</cdr:x>
      <cdr:y>0.99753</cdr:y>
    </cdr:to>
    <cdr:sp macro="" textlink="">
      <cdr:nvSpPr>
        <cdr:cNvPr id="16" name="TextBox 15"/>
        <cdr:cNvSpPr txBox="1"/>
      </cdr:nvSpPr>
      <cdr:spPr>
        <a:xfrm xmlns:a="http://schemas.openxmlformats.org/drawingml/2006/main" rot="16200000">
          <a:off x="4179821" y="3522595"/>
          <a:ext cx="400051" cy="25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3/4</a:t>
          </a:r>
        </a:p>
      </cdr:txBody>
    </cdr:sp>
  </cdr:relSizeAnchor>
  <cdr:relSizeAnchor xmlns:cdr="http://schemas.openxmlformats.org/drawingml/2006/chartDrawing">
    <cdr:from>
      <cdr:x>0.64683</cdr:x>
      <cdr:y>0.89877</cdr:y>
    </cdr:from>
    <cdr:to>
      <cdr:x>0.67733</cdr:x>
      <cdr:y>0.99753</cdr:y>
    </cdr:to>
    <cdr:sp macro="" textlink="">
      <cdr:nvSpPr>
        <cdr:cNvPr id="17" name="TextBox 16"/>
        <cdr:cNvSpPr txBox="1"/>
      </cdr:nvSpPr>
      <cdr:spPr>
        <a:xfrm xmlns:a="http://schemas.openxmlformats.org/drawingml/2006/main" rot="16200000">
          <a:off x="4539260" y="3548656"/>
          <a:ext cx="380998" cy="217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1in</a:t>
          </a:r>
        </a:p>
      </cdr:txBody>
    </cdr:sp>
  </cdr:relSizeAnchor>
  <cdr:relSizeAnchor xmlns:cdr="http://schemas.openxmlformats.org/drawingml/2006/chartDrawing">
    <cdr:from>
      <cdr:x>0.69655</cdr:x>
      <cdr:y>0.85679</cdr:y>
    </cdr:from>
    <cdr:to>
      <cdr:x>0.72933</cdr:x>
      <cdr:y>0.99012</cdr:y>
    </cdr:to>
    <cdr:sp macro="" textlink="">
      <cdr:nvSpPr>
        <cdr:cNvPr id="18" name="TextBox 17"/>
        <cdr:cNvSpPr txBox="1"/>
      </cdr:nvSpPr>
      <cdr:spPr>
        <a:xfrm xmlns:a="http://schemas.openxmlformats.org/drawingml/2006/main" rot="16200000">
          <a:off x="4835890" y="3445241"/>
          <a:ext cx="514351" cy="234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1 1/2</a:t>
          </a:r>
        </a:p>
      </cdr:txBody>
    </cdr:sp>
  </cdr:relSizeAnchor>
  <cdr:relSizeAnchor xmlns:cdr="http://schemas.openxmlformats.org/drawingml/2006/chartDrawing">
    <cdr:from>
      <cdr:x>0.82908</cdr:x>
      <cdr:y>0.90896</cdr:y>
    </cdr:from>
    <cdr:to>
      <cdr:x>0.98232</cdr:x>
      <cdr:y>0.99119</cdr:y>
    </cdr:to>
    <cdr:sp macro="" textlink="">
      <cdr:nvSpPr>
        <cdr:cNvPr id="57" name="TextBox 56"/>
        <cdr:cNvSpPr txBox="1"/>
      </cdr:nvSpPr>
      <cdr:spPr>
        <a:xfrm xmlns:a="http://schemas.openxmlformats.org/drawingml/2006/main">
          <a:off x="4019550" y="2947989"/>
          <a:ext cx="742951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/>
            <a:t>Sieve</a:t>
          </a:r>
          <a:r>
            <a:rPr lang="en-US" sz="1100" b="1" baseline="0"/>
            <a:t> No.</a:t>
          </a:r>
          <a:endParaRPr lang="en-US" sz="1100" b="1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</cdr:x>
      <cdr:y>0.18576</cdr:y>
    </cdr:from>
    <cdr:to>
      <cdr:x>1</cdr:x>
      <cdr:y>0.5191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943350" y="50958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0.13167</cdr:x>
      <cdr:y>0.84375</cdr:y>
    </cdr:from>
    <cdr:to>
      <cdr:x>0.19208</cdr:x>
      <cdr:y>1</cdr:y>
    </cdr:to>
    <cdr:sp macro="" textlink="">
      <cdr:nvSpPr>
        <cdr:cNvPr id="7" name="TextBox 6"/>
        <cdr:cNvSpPr txBox="1"/>
      </cdr:nvSpPr>
      <cdr:spPr>
        <a:xfrm xmlns:a="http://schemas.openxmlformats.org/drawingml/2006/main" rot="16200000">
          <a:off x="855018" y="3340472"/>
          <a:ext cx="602754" cy="431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#200</a:t>
          </a:r>
        </a:p>
      </cdr:txBody>
    </cdr:sp>
  </cdr:relSizeAnchor>
  <cdr:relSizeAnchor xmlns:cdr="http://schemas.openxmlformats.org/drawingml/2006/chartDrawing">
    <cdr:from>
      <cdr:x>0.1802</cdr:x>
      <cdr:y>0.87901</cdr:y>
    </cdr:from>
    <cdr:to>
      <cdr:x>0.21733</cdr:x>
      <cdr:y>1</cdr:y>
    </cdr:to>
    <cdr:sp macro="" textlink="">
      <cdr:nvSpPr>
        <cdr:cNvPr id="8" name="TextBox 7"/>
        <cdr:cNvSpPr txBox="1"/>
      </cdr:nvSpPr>
      <cdr:spPr>
        <a:xfrm xmlns:a="http://schemas.openxmlformats.org/drawingml/2006/main" rot="16200000">
          <a:off x="1186577" y="3491627"/>
          <a:ext cx="466726" cy="2652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#100</a:t>
          </a:r>
        </a:p>
      </cdr:txBody>
    </cdr:sp>
  </cdr:relSizeAnchor>
  <cdr:relSizeAnchor xmlns:cdr="http://schemas.openxmlformats.org/drawingml/2006/chartDrawing">
    <cdr:from>
      <cdr:x>0.23941</cdr:x>
      <cdr:y>0.82986</cdr:y>
    </cdr:from>
    <cdr:to>
      <cdr:x>0.29358</cdr:x>
      <cdr:y>1</cdr:y>
    </cdr:to>
    <cdr:sp macro="" textlink="">
      <cdr:nvSpPr>
        <cdr:cNvPr id="9" name="TextBox 8"/>
        <cdr:cNvSpPr txBox="1"/>
      </cdr:nvSpPr>
      <cdr:spPr>
        <a:xfrm xmlns:a="http://schemas.openxmlformats.org/drawingml/2006/main" rot="16200000">
          <a:off x="1575606" y="3335969"/>
          <a:ext cx="656336" cy="386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#50</a:t>
          </a:r>
        </a:p>
      </cdr:txBody>
    </cdr:sp>
  </cdr:relSizeAnchor>
  <cdr:relSizeAnchor xmlns:cdr="http://schemas.openxmlformats.org/drawingml/2006/chartDrawing">
    <cdr:from>
      <cdr:x>0.2925</cdr:x>
      <cdr:y>0.84375</cdr:y>
    </cdr:from>
    <cdr:to>
      <cdr:x>0.35709</cdr:x>
      <cdr:y>1</cdr:y>
    </cdr:to>
    <cdr:sp macro="" textlink="">
      <cdr:nvSpPr>
        <cdr:cNvPr id="10" name="TextBox 9"/>
        <cdr:cNvSpPr txBox="1"/>
      </cdr:nvSpPr>
      <cdr:spPr>
        <a:xfrm xmlns:a="http://schemas.openxmlformats.org/drawingml/2006/main" rot="16200000">
          <a:off x="2018878" y="3325541"/>
          <a:ext cx="602754" cy="461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#30</a:t>
          </a:r>
        </a:p>
      </cdr:txBody>
    </cdr:sp>
  </cdr:relSizeAnchor>
  <cdr:relSizeAnchor xmlns:cdr="http://schemas.openxmlformats.org/drawingml/2006/chartDrawing">
    <cdr:from>
      <cdr:x>0.34604</cdr:x>
      <cdr:y>0.81424</cdr:y>
    </cdr:from>
    <cdr:to>
      <cdr:x>0.41062</cdr:x>
      <cdr:y>1</cdr:y>
    </cdr:to>
    <cdr:sp macro="" textlink="">
      <cdr:nvSpPr>
        <cdr:cNvPr id="11" name="TextBox 10"/>
        <cdr:cNvSpPr txBox="1"/>
      </cdr:nvSpPr>
      <cdr:spPr>
        <a:xfrm xmlns:a="http://schemas.openxmlformats.org/drawingml/2006/main" rot="16200000">
          <a:off x="2344422" y="3268657"/>
          <a:ext cx="716593" cy="461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#16</a:t>
          </a:r>
        </a:p>
      </cdr:txBody>
    </cdr:sp>
  </cdr:relSizeAnchor>
  <cdr:relSizeAnchor xmlns:cdr="http://schemas.openxmlformats.org/drawingml/2006/chartDrawing">
    <cdr:from>
      <cdr:x>0.39596</cdr:x>
      <cdr:y>0.84722</cdr:y>
    </cdr:from>
    <cdr:to>
      <cdr:x>0.46054</cdr:x>
      <cdr:y>1</cdr:y>
    </cdr:to>
    <cdr:sp macro="" textlink="">
      <cdr:nvSpPr>
        <cdr:cNvPr id="12" name="TextBox 11"/>
        <cdr:cNvSpPr txBox="1"/>
      </cdr:nvSpPr>
      <cdr:spPr>
        <a:xfrm xmlns:a="http://schemas.openxmlformats.org/drawingml/2006/main" rot="16200000">
          <a:off x="2764604" y="3332270"/>
          <a:ext cx="589368" cy="4613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#8</a:t>
          </a:r>
        </a:p>
      </cdr:txBody>
    </cdr:sp>
  </cdr:relSizeAnchor>
  <cdr:relSizeAnchor xmlns:cdr="http://schemas.openxmlformats.org/drawingml/2006/chartDrawing">
    <cdr:from>
      <cdr:x>0.44938</cdr:x>
      <cdr:y>0.86358</cdr:y>
    </cdr:from>
    <cdr:to>
      <cdr:x>0.54104</cdr:x>
      <cdr:y>0.999</cdr:y>
    </cdr:to>
    <cdr:sp macro="" textlink="">
      <cdr:nvSpPr>
        <cdr:cNvPr id="13" name="TextBox 12"/>
        <cdr:cNvSpPr txBox="1"/>
      </cdr:nvSpPr>
      <cdr:spPr>
        <a:xfrm xmlns:a="http://schemas.openxmlformats.org/drawingml/2006/main" rot="16200000">
          <a:off x="3276457" y="3265167"/>
          <a:ext cx="522400" cy="654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#4</a:t>
          </a:r>
        </a:p>
      </cdr:txBody>
    </cdr:sp>
  </cdr:relSizeAnchor>
  <cdr:relSizeAnchor xmlns:cdr="http://schemas.openxmlformats.org/drawingml/2006/chartDrawing">
    <cdr:from>
      <cdr:x>0.49775</cdr:x>
      <cdr:y>0.85764</cdr:y>
    </cdr:from>
    <cdr:to>
      <cdr:x>0.58316</cdr:x>
      <cdr:y>1</cdr:y>
    </cdr:to>
    <cdr:sp macro="" textlink="">
      <cdr:nvSpPr>
        <cdr:cNvPr id="14" name="TextBox 13"/>
        <cdr:cNvSpPr txBox="1"/>
      </cdr:nvSpPr>
      <cdr:spPr>
        <a:xfrm xmlns:a="http://schemas.openxmlformats.org/drawingml/2006/main" rot="16200000">
          <a:off x="3586314" y="3277966"/>
          <a:ext cx="549172" cy="610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3/8</a:t>
          </a:r>
        </a:p>
      </cdr:txBody>
    </cdr:sp>
  </cdr:relSizeAnchor>
  <cdr:relSizeAnchor xmlns:cdr="http://schemas.openxmlformats.org/drawingml/2006/chartDrawing">
    <cdr:from>
      <cdr:x>0.54996</cdr:x>
      <cdr:y>0.88194</cdr:y>
    </cdr:from>
    <cdr:to>
      <cdr:x>0.6208</cdr:x>
      <cdr:y>0.99653</cdr:y>
    </cdr:to>
    <cdr:sp macro="" textlink="">
      <cdr:nvSpPr>
        <cdr:cNvPr id="15" name="TextBox 14"/>
        <cdr:cNvSpPr txBox="1"/>
      </cdr:nvSpPr>
      <cdr:spPr>
        <a:xfrm xmlns:a="http://schemas.openxmlformats.org/drawingml/2006/main" rot="16200000">
          <a:off x="3960762" y="3370186"/>
          <a:ext cx="442045" cy="506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1/2</a:t>
          </a:r>
        </a:p>
      </cdr:txBody>
    </cdr:sp>
  </cdr:relSizeAnchor>
  <cdr:relSizeAnchor xmlns:cdr="http://schemas.openxmlformats.org/drawingml/2006/chartDrawing">
    <cdr:from>
      <cdr:x>0.59554</cdr:x>
      <cdr:y>0.89383</cdr:y>
    </cdr:from>
    <cdr:to>
      <cdr:x>0.63067</cdr:x>
      <cdr:y>0.99753</cdr:y>
    </cdr:to>
    <cdr:sp macro="" textlink="">
      <cdr:nvSpPr>
        <cdr:cNvPr id="16" name="TextBox 15"/>
        <cdr:cNvSpPr txBox="1"/>
      </cdr:nvSpPr>
      <cdr:spPr>
        <a:xfrm xmlns:a="http://schemas.openxmlformats.org/drawingml/2006/main" rot="16200000">
          <a:off x="4179821" y="3522595"/>
          <a:ext cx="400051" cy="25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3/4</a:t>
          </a:r>
        </a:p>
      </cdr:txBody>
    </cdr:sp>
  </cdr:relSizeAnchor>
  <cdr:relSizeAnchor xmlns:cdr="http://schemas.openxmlformats.org/drawingml/2006/chartDrawing">
    <cdr:from>
      <cdr:x>0.64683</cdr:x>
      <cdr:y>0.89877</cdr:y>
    </cdr:from>
    <cdr:to>
      <cdr:x>0.67733</cdr:x>
      <cdr:y>0.99753</cdr:y>
    </cdr:to>
    <cdr:sp macro="" textlink="">
      <cdr:nvSpPr>
        <cdr:cNvPr id="17" name="TextBox 16"/>
        <cdr:cNvSpPr txBox="1"/>
      </cdr:nvSpPr>
      <cdr:spPr>
        <a:xfrm xmlns:a="http://schemas.openxmlformats.org/drawingml/2006/main" rot="16200000">
          <a:off x="4539260" y="3548656"/>
          <a:ext cx="380998" cy="217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1in</a:t>
          </a:r>
        </a:p>
      </cdr:txBody>
    </cdr:sp>
  </cdr:relSizeAnchor>
  <cdr:relSizeAnchor xmlns:cdr="http://schemas.openxmlformats.org/drawingml/2006/chartDrawing">
    <cdr:from>
      <cdr:x>0.69655</cdr:x>
      <cdr:y>0.85679</cdr:y>
    </cdr:from>
    <cdr:to>
      <cdr:x>0.72933</cdr:x>
      <cdr:y>0.99012</cdr:y>
    </cdr:to>
    <cdr:sp macro="" textlink="">
      <cdr:nvSpPr>
        <cdr:cNvPr id="18" name="TextBox 17"/>
        <cdr:cNvSpPr txBox="1"/>
      </cdr:nvSpPr>
      <cdr:spPr>
        <a:xfrm xmlns:a="http://schemas.openxmlformats.org/drawingml/2006/main" rot="16200000">
          <a:off x="4835890" y="3445241"/>
          <a:ext cx="514351" cy="234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1 1/2</a:t>
          </a:r>
        </a:p>
      </cdr:txBody>
    </cdr:sp>
  </cdr:relSizeAnchor>
  <cdr:relSizeAnchor xmlns:cdr="http://schemas.openxmlformats.org/drawingml/2006/chartDrawing">
    <cdr:from>
      <cdr:x>0.82908</cdr:x>
      <cdr:y>0.90896</cdr:y>
    </cdr:from>
    <cdr:to>
      <cdr:x>0.98232</cdr:x>
      <cdr:y>0.99119</cdr:y>
    </cdr:to>
    <cdr:sp macro="" textlink="">
      <cdr:nvSpPr>
        <cdr:cNvPr id="57" name="TextBox 56"/>
        <cdr:cNvSpPr txBox="1"/>
      </cdr:nvSpPr>
      <cdr:spPr>
        <a:xfrm xmlns:a="http://schemas.openxmlformats.org/drawingml/2006/main">
          <a:off x="4019550" y="2947989"/>
          <a:ext cx="742951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/>
            <a:t>Sieve</a:t>
          </a:r>
          <a:r>
            <a:rPr lang="en-US" sz="1100" b="1" baseline="0"/>
            <a:t> No.</a:t>
          </a:r>
          <a:endParaRPr lang="en-US" sz="1100" b="1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</cdr:x>
      <cdr:y>0.18576</cdr:y>
    </cdr:from>
    <cdr:to>
      <cdr:x>1</cdr:x>
      <cdr:y>0.5191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943350" y="50958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0.13167</cdr:x>
      <cdr:y>0.84375</cdr:y>
    </cdr:from>
    <cdr:to>
      <cdr:x>0.19208</cdr:x>
      <cdr:y>1</cdr:y>
    </cdr:to>
    <cdr:sp macro="" textlink="">
      <cdr:nvSpPr>
        <cdr:cNvPr id="7" name="TextBox 6"/>
        <cdr:cNvSpPr txBox="1"/>
      </cdr:nvSpPr>
      <cdr:spPr>
        <a:xfrm xmlns:a="http://schemas.openxmlformats.org/drawingml/2006/main" rot="16200000">
          <a:off x="855018" y="3340472"/>
          <a:ext cx="602754" cy="431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#200</a:t>
          </a:r>
        </a:p>
      </cdr:txBody>
    </cdr:sp>
  </cdr:relSizeAnchor>
  <cdr:relSizeAnchor xmlns:cdr="http://schemas.openxmlformats.org/drawingml/2006/chartDrawing">
    <cdr:from>
      <cdr:x>0.1802</cdr:x>
      <cdr:y>0.87901</cdr:y>
    </cdr:from>
    <cdr:to>
      <cdr:x>0.21733</cdr:x>
      <cdr:y>1</cdr:y>
    </cdr:to>
    <cdr:sp macro="" textlink="">
      <cdr:nvSpPr>
        <cdr:cNvPr id="8" name="TextBox 7"/>
        <cdr:cNvSpPr txBox="1"/>
      </cdr:nvSpPr>
      <cdr:spPr>
        <a:xfrm xmlns:a="http://schemas.openxmlformats.org/drawingml/2006/main" rot="16200000">
          <a:off x="1186577" y="3491627"/>
          <a:ext cx="466726" cy="2652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#100</a:t>
          </a:r>
        </a:p>
      </cdr:txBody>
    </cdr:sp>
  </cdr:relSizeAnchor>
  <cdr:relSizeAnchor xmlns:cdr="http://schemas.openxmlformats.org/drawingml/2006/chartDrawing">
    <cdr:from>
      <cdr:x>0.23941</cdr:x>
      <cdr:y>0.82986</cdr:y>
    </cdr:from>
    <cdr:to>
      <cdr:x>0.29358</cdr:x>
      <cdr:y>1</cdr:y>
    </cdr:to>
    <cdr:sp macro="" textlink="">
      <cdr:nvSpPr>
        <cdr:cNvPr id="9" name="TextBox 8"/>
        <cdr:cNvSpPr txBox="1"/>
      </cdr:nvSpPr>
      <cdr:spPr>
        <a:xfrm xmlns:a="http://schemas.openxmlformats.org/drawingml/2006/main" rot="16200000">
          <a:off x="1575606" y="3335969"/>
          <a:ext cx="656336" cy="386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#50</a:t>
          </a:r>
        </a:p>
      </cdr:txBody>
    </cdr:sp>
  </cdr:relSizeAnchor>
  <cdr:relSizeAnchor xmlns:cdr="http://schemas.openxmlformats.org/drawingml/2006/chartDrawing">
    <cdr:from>
      <cdr:x>0.2925</cdr:x>
      <cdr:y>0.84375</cdr:y>
    </cdr:from>
    <cdr:to>
      <cdr:x>0.35709</cdr:x>
      <cdr:y>1</cdr:y>
    </cdr:to>
    <cdr:sp macro="" textlink="">
      <cdr:nvSpPr>
        <cdr:cNvPr id="10" name="TextBox 9"/>
        <cdr:cNvSpPr txBox="1"/>
      </cdr:nvSpPr>
      <cdr:spPr>
        <a:xfrm xmlns:a="http://schemas.openxmlformats.org/drawingml/2006/main" rot="16200000">
          <a:off x="2018878" y="3325541"/>
          <a:ext cx="602754" cy="461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#30</a:t>
          </a:r>
        </a:p>
      </cdr:txBody>
    </cdr:sp>
  </cdr:relSizeAnchor>
  <cdr:relSizeAnchor xmlns:cdr="http://schemas.openxmlformats.org/drawingml/2006/chartDrawing">
    <cdr:from>
      <cdr:x>0.34604</cdr:x>
      <cdr:y>0.81424</cdr:y>
    </cdr:from>
    <cdr:to>
      <cdr:x>0.41062</cdr:x>
      <cdr:y>1</cdr:y>
    </cdr:to>
    <cdr:sp macro="" textlink="">
      <cdr:nvSpPr>
        <cdr:cNvPr id="11" name="TextBox 10"/>
        <cdr:cNvSpPr txBox="1"/>
      </cdr:nvSpPr>
      <cdr:spPr>
        <a:xfrm xmlns:a="http://schemas.openxmlformats.org/drawingml/2006/main" rot="16200000">
          <a:off x="2344422" y="3268657"/>
          <a:ext cx="716593" cy="461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#16</a:t>
          </a:r>
        </a:p>
      </cdr:txBody>
    </cdr:sp>
  </cdr:relSizeAnchor>
  <cdr:relSizeAnchor xmlns:cdr="http://schemas.openxmlformats.org/drawingml/2006/chartDrawing">
    <cdr:from>
      <cdr:x>0.39596</cdr:x>
      <cdr:y>0.84722</cdr:y>
    </cdr:from>
    <cdr:to>
      <cdr:x>0.46054</cdr:x>
      <cdr:y>1</cdr:y>
    </cdr:to>
    <cdr:sp macro="" textlink="">
      <cdr:nvSpPr>
        <cdr:cNvPr id="12" name="TextBox 11"/>
        <cdr:cNvSpPr txBox="1"/>
      </cdr:nvSpPr>
      <cdr:spPr>
        <a:xfrm xmlns:a="http://schemas.openxmlformats.org/drawingml/2006/main" rot="16200000">
          <a:off x="2764604" y="3332270"/>
          <a:ext cx="589368" cy="4613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#8</a:t>
          </a:r>
        </a:p>
      </cdr:txBody>
    </cdr:sp>
  </cdr:relSizeAnchor>
  <cdr:relSizeAnchor xmlns:cdr="http://schemas.openxmlformats.org/drawingml/2006/chartDrawing">
    <cdr:from>
      <cdr:x>0.44938</cdr:x>
      <cdr:y>0.86358</cdr:y>
    </cdr:from>
    <cdr:to>
      <cdr:x>0.54104</cdr:x>
      <cdr:y>0.999</cdr:y>
    </cdr:to>
    <cdr:sp macro="" textlink="">
      <cdr:nvSpPr>
        <cdr:cNvPr id="13" name="TextBox 12"/>
        <cdr:cNvSpPr txBox="1"/>
      </cdr:nvSpPr>
      <cdr:spPr>
        <a:xfrm xmlns:a="http://schemas.openxmlformats.org/drawingml/2006/main" rot="16200000">
          <a:off x="3276457" y="3265167"/>
          <a:ext cx="522400" cy="654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#4</a:t>
          </a:r>
        </a:p>
      </cdr:txBody>
    </cdr:sp>
  </cdr:relSizeAnchor>
  <cdr:relSizeAnchor xmlns:cdr="http://schemas.openxmlformats.org/drawingml/2006/chartDrawing">
    <cdr:from>
      <cdr:x>0.49775</cdr:x>
      <cdr:y>0.85764</cdr:y>
    </cdr:from>
    <cdr:to>
      <cdr:x>0.58316</cdr:x>
      <cdr:y>1</cdr:y>
    </cdr:to>
    <cdr:sp macro="" textlink="">
      <cdr:nvSpPr>
        <cdr:cNvPr id="14" name="TextBox 13"/>
        <cdr:cNvSpPr txBox="1"/>
      </cdr:nvSpPr>
      <cdr:spPr>
        <a:xfrm xmlns:a="http://schemas.openxmlformats.org/drawingml/2006/main" rot="16200000">
          <a:off x="3586314" y="3277966"/>
          <a:ext cx="549172" cy="610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3/8</a:t>
          </a:r>
        </a:p>
      </cdr:txBody>
    </cdr:sp>
  </cdr:relSizeAnchor>
  <cdr:relSizeAnchor xmlns:cdr="http://schemas.openxmlformats.org/drawingml/2006/chartDrawing">
    <cdr:from>
      <cdr:x>0.54996</cdr:x>
      <cdr:y>0.88194</cdr:y>
    </cdr:from>
    <cdr:to>
      <cdr:x>0.6208</cdr:x>
      <cdr:y>0.99653</cdr:y>
    </cdr:to>
    <cdr:sp macro="" textlink="">
      <cdr:nvSpPr>
        <cdr:cNvPr id="15" name="TextBox 14"/>
        <cdr:cNvSpPr txBox="1"/>
      </cdr:nvSpPr>
      <cdr:spPr>
        <a:xfrm xmlns:a="http://schemas.openxmlformats.org/drawingml/2006/main" rot="16200000">
          <a:off x="3960762" y="3370186"/>
          <a:ext cx="442045" cy="506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1/2</a:t>
          </a:r>
        </a:p>
      </cdr:txBody>
    </cdr:sp>
  </cdr:relSizeAnchor>
  <cdr:relSizeAnchor xmlns:cdr="http://schemas.openxmlformats.org/drawingml/2006/chartDrawing">
    <cdr:from>
      <cdr:x>0.59554</cdr:x>
      <cdr:y>0.89383</cdr:y>
    </cdr:from>
    <cdr:to>
      <cdr:x>0.63067</cdr:x>
      <cdr:y>0.99753</cdr:y>
    </cdr:to>
    <cdr:sp macro="" textlink="">
      <cdr:nvSpPr>
        <cdr:cNvPr id="16" name="TextBox 15"/>
        <cdr:cNvSpPr txBox="1"/>
      </cdr:nvSpPr>
      <cdr:spPr>
        <a:xfrm xmlns:a="http://schemas.openxmlformats.org/drawingml/2006/main" rot="16200000">
          <a:off x="4179821" y="3522595"/>
          <a:ext cx="400051" cy="25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3/4</a:t>
          </a:r>
        </a:p>
      </cdr:txBody>
    </cdr:sp>
  </cdr:relSizeAnchor>
  <cdr:relSizeAnchor xmlns:cdr="http://schemas.openxmlformats.org/drawingml/2006/chartDrawing">
    <cdr:from>
      <cdr:x>0.64683</cdr:x>
      <cdr:y>0.89877</cdr:y>
    </cdr:from>
    <cdr:to>
      <cdr:x>0.67733</cdr:x>
      <cdr:y>0.99753</cdr:y>
    </cdr:to>
    <cdr:sp macro="" textlink="">
      <cdr:nvSpPr>
        <cdr:cNvPr id="17" name="TextBox 16"/>
        <cdr:cNvSpPr txBox="1"/>
      </cdr:nvSpPr>
      <cdr:spPr>
        <a:xfrm xmlns:a="http://schemas.openxmlformats.org/drawingml/2006/main" rot="16200000">
          <a:off x="4539260" y="3548656"/>
          <a:ext cx="380998" cy="217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1in</a:t>
          </a:r>
        </a:p>
      </cdr:txBody>
    </cdr:sp>
  </cdr:relSizeAnchor>
  <cdr:relSizeAnchor xmlns:cdr="http://schemas.openxmlformats.org/drawingml/2006/chartDrawing">
    <cdr:from>
      <cdr:x>0.69655</cdr:x>
      <cdr:y>0.85679</cdr:y>
    </cdr:from>
    <cdr:to>
      <cdr:x>0.72933</cdr:x>
      <cdr:y>0.99012</cdr:y>
    </cdr:to>
    <cdr:sp macro="" textlink="">
      <cdr:nvSpPr>
        <cdr:cNvPr id="18" name="TextBox 17"/>
        <cdr:cNvSpPr txBox="1"/>
      </cdr:nvSpPr>
      <cdr:spPr>
        <a:xfrm xmlns:a="http://schemas.openxmlformats.org/drawingml/2006/main" rot="16200000">
          <a:off x="4835890" y="3445241"/>
          <a:ext cx="514351" cy="234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1 1/2</a:t>
          </a:r>
        </a:p>
      </cdr:txBody>
    </cdr:sp>
  </cdr:relSizeAnchor>
  <cdr:relSizeAnchor xmlns:cdr="http://schemas.openxmlformats.org/drawingml/2006/chartDrawing">
    <cdr:from>
      <cdr:x>0.82908</cdr:x>
      <cdr:y>0.90896</cdr:y>
    </cdr:from>
    <cdr:to>
      <cdr:x>0.98232</cdr:x>
      <cdr:y>0.99119</cdr:y>
    </cdr:to>
    <cdr:sp macro="" textlink="">
      <cdr:nvSpPr>
        <cdr:cNvPr id="57" name="TextBox 56"/>
        <cdr:cNvSpPr txBox="1"/>
      </cdr:nvSpPr>
      <cdr:spPr>
        <a:xfrm xmlns:a="http://schemas.openxmlformats.org/drawingml/2006/main">
          <a:off x="4019550" y="2947989"/>
          <a:ext cx="742951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/>
            <a:t>Sieve</a:t>
          </a:r>
          <a:r>
            <a:rPr lang="en-US" sz="1100" b="1" baseline="0"/>
            <a:t> No.</a:t>
          </a:r>
          <a:endParaRPr lang="en-US" sz="1100" b="1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0.83505</cdr:x>
      <cdr:y>0.70865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7680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0.80241</cdr:x>
      <cdr:y>0.03945</cdr:y>
    </cdr:from>
    <cdr:to>
      <cdr:x>0.95017</cdr:x>
      <cdr:y>0.13657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48175" y="123825"/>
          <a:ext cx="8191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NMS(D)=1in</a:t>
          </a:r>
        </a:p>
      </cdr:txBody>
    </cdr:sp>
  </cdr:relSizeAnchor>
  <cdr:relSizeAnchor xmlns:cdr="http://schemas.openxmlformats.org/drawingml/2006/chartDrawing">
    <cdr:from>
      <cdr:x>0.46374</cdr:x>
      <cdr:y>0.88187</cdr:y>
    </cdr:from>
    <cdr:to>
      <cdr:x>0.50759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 rot="16200000">
          <a:off x="2922371" y="3121155"/>
          <a:ext cx="409575" cy="2823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.75</a:t>
          </a:r>
        </a:p>
      </cdr:txBody>
    </cdr:sp>
  </cdr:relSizeAnchor>
  <cdr:relSizeAnchor xmlns:cdr="http://schemas.openxmlformats.org/drawingml/2006/chartDrawing">
    <cdr:from>
      <cdr:x>0.39708</cdr:x>
      <cdr:y>0.89918</cdr:y>
    </cdr:from>
    <cdr:to>
      <cdr:x>0.4254</cdr:x>
      <cdr:y>0.98802</cdr:y>
    </cdr:to>
    <cdr:sp macro="" textlink="">
      <cdr:nvSpPr>
        <cdr:cNvPr id="5" name="TextBox 4"/>
        <cdr:cNvSpPr txBox="1"/>
      </cdr:nvSpPr>
      <cdr:spPr>
        <a:xfrm xmlns:a="http://schemas.openxmlformats.org/drawingml/2006/main" rot="16200000">
          <a:off x="2527893" y="3206157"/>
          <a:ext cx="310557" cy="1847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.5</a:t>
          </a:r>
        </a:p>
      </cdr:txBody>
    </cdr:sp>
  </cdr:relSizeAnchor>
  <cdr:relSizeAnchor xmlns:cdr="http://schemas.openxmlformats.org/drawingml/2006/chartDrawing">
    <cdr:from>
      <cdr:x>0.35037</cdr:x>
      <cdr:y>0.89918</cdr:y>
    </cdr:from>
    <cdr:to>
      <cdr:x>0.39854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 rot="16200000">
          <a:off x="2266951" y="3162300"/>
          <a:ext cx="3524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3/8</a:t>
          </a:r>
        </a:p>
      </cdr:txBody>
    </cdr:sp>
  </cdr:relSizeAnchor>
  <cdr:relSizeAnchor xmlns:cdr="http://schemas.openxmlformats.org/drawingml/2006/chartDrawing">
    <cdr:from>
      <cdr:x>0.27286</cdr:x>
      <cdr:y>0.88615</cdr:y>
    </cdr:from>
    <cdr:to>
      <cdr:x>0.33527</cdr:x>
      <cdr:y>0.99734</cdr:y>
    </cdr:to>
    <cdr:sp macro="" textlink="">
      <cdr:nvSpPr>
        <cdr:cNvPr id="7" name="TextBox 6"/>
        <cdr:cNvSpPr txBox="1"/>
      </cdr:nvSpPr>
      <cdr:spPr>
        <a:xfrm xmlns:a="http://schemas.openxmlformats.org/drawingml/2006/main" rot="16200000">
          <a:off x="1796373" y="3167970"/>
          <a:ext cx="398234" cy="40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#4</a:t>
          </a:r>
        </a:p>
      </cdr:txBody>
    </cdr:sp>
  </cdr:relSizeAnchor>
  <cdr:relSizeAnchor xmlns:cdr="http://schemas.openxmlformats.org/drawingml/2006/chartDrawing">
    <cdr:from>
      <cdr:x>0.86067</cdr:x>
      <cdr:y>0.74468</cdr:y>
    </cdr:from>
    <cdr:to>
      <cdr:x>1</cdr:x>
      <cdr:y>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5924551" y="29527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0.2119</cdr:x>
      <cdr:y>0.89894</cdr:y>
    </cdr:from>
    <cdr:to>
      <cdr:x>0.25689</cdr:x>
      <cdr:y>1</cdr:y>
    </cdr:to>
    <cdr:sp macro="" textlink="">
      <cdr:nvSpPr>
        <cdr:cNvPr id="9" name="TextBox 8"/>
        <cdr:cNvSpPr txBox="1"/>
      </cdr:nvSpPr>
      <cdr:spPr>
        <a:xfrm xmlns:a="http://schemas.openxmlformats.org/drawingml/2006/main" rot="16200000">
          <a:off x="1357314" y="3252788"/>
          <a:ext cx="36195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#8</a:t>
          </a:r>
        </a:p>
      </cdr:txBody>
    </cdr:sp>
  </cdr:relSizeAnchor>
  <cdr:relSizeAnchor xmlns:cdr="http://schemas.openxmlformats.org/drawingml/2006/chartDrawing">
    <cdr:from>
      <cdr:x>0.17199</cdr:x>
      <cdr:y>0.89628</cdr:y>
    </cdr:from>
    <cdr:to>
      <cdr:x>0.21843</cdr:x>
      <cdr:y>1</cdr:y>
    </cdr:to>
    <cdr:sp macro="" textlink="">
      <cdr:nvSpPr>
        <cdr:cNvPr id="10" name="TextBox 9"/>
        <cdr:cNvSpPr txBox="1"/>
      </cdr:nvSpPr>
      <cdr:spPr>
        <a:xfrm xmlns:a="http://schemas.openxmlformats.org/drawingml/2006/main" rot="16200000">
          <a:off x="1095376" y="3243263"/>
          <a:ext cx="3714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#16</a:t>
          </a:r>
        </a:p>
      </cdr:txBody>
    </cdr:sp>
  </cdr:relSizeAnchor>
  <cdr:relSizeAnchor xmlns:cdr="http://schemas.openxmlformats.org/drawingml/2006/chartDrawing">
    <cdr:from>
      <cdr:x>0.13788</cdr:x>
      <cdr:y>0.89362</cdr:y>
    </cdr:from>
    <cdr:to>
      <cdr:x>0.18142</cdr:x>
      <cdr:y>1</cdr:y>
    </cdr:to>
    <cdr:sp macro="" textlink="">
      <cdr:nvSpPr>
        <cdr:cNvPr id="11" name="TextBox 10"/>
        <cdr:cNvSpPr txBox="1"/>
      </cdr:nvSpPr>
      <cdr:spPr>
        <a:xfrm xmlns:a="http://schemas.openxmlformats.org/drawingml/2006/main" rot="16200000">
          <a:off x="857251" y="3248026"/>
          <a:ext cx="3810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#30</a:t>
          </a:r>
        </a:p>
      </cdr:txBody>
    </cdr:sp>
  </cdr:relSizeAnchor>
  <cdr:relSizeAnchor xmlns:cdr="http://schemas.openxmlformats.org/drawingml/2006/chartDrawing">
    <cdr:from>
      <cdr:x>0.11321</cdr:x>
      <cdr:y>0.88298</cdr:y>
    </cdr:from>
    <cdr:to>
      <cdr:x>0.15675</cdr:x>
      <cdr:y>1</cdr:y>
    </cdr:to>
    <cdr:sp macro="" textlink="">
      <cdr:nvSpPr>
        <cdr:cNvPr id="12" name="TextBox 11"/>
        <cdr:cNvSpPr txBox="1"/>
      </cdr:nvSpPr>
      <cdr:spPr>
        <a:xfrm xmlns:a="http://schemas.openxmlformats.org/drawingml/2006/main" rot="16200000">
          <a:off x="676276" y="3228975"/>
          <a:ext cx="4191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#50</a:t>
          </a:r>
        </a:p>
      </cdr:txBody>
    </cdr:sp>
  </cdr:relSizeAnchor>
  <cdr:relSizeAnchor xmlns:cdr="http://schemas.openxmlformats.org/drawingml/2006/chartDrawing">
    <cdr:from>
      <cdr:x>0.09144</cdr:x>
      <cdr:y>0.86436</cdr:y>
    </cdr:from>
    <cdr:to>
      <cdr:x>0.13933</cdr:x>
      <cdr:y>1</cdr:y>
    </cdr:to>
    <cdr:sp macro="" textlink="">
      <cdr:nvSpPr>
        <cdr:cNvPr id="13" name="TextBox 12"/>
        <cdr:cNvSpPr txBox="1"/>
      </cdr:nvSpPr>
      <cdr:spPr>
        <a:xfrm xmlns:a="http://schemas.openxmlformats.org/drawingml/2006/main" rot="16200000">
          <a:off x="514351" y="3181351"/>
          <a:ext cx="48577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i="0"/>
            <a:t>#100</a:t>
          </a:r>
        </a:p>
      </cdr:txBody>
    </cdr:sp>
  </cdr:relSizeAnchor>
  <cdr:relSizeAnchor xmlns:cdr="http://schemas.openxmlformats.org/drawingml/2006/chartDrawing">
    <cdr:from>
      <cdr:x>0.51669</cdr:x>
      <cdr:y>0.89096</cdr:y>
    </cdr:from>
    <cdr:to>
      <cdr:x>0.56459</cdr:x>
      <cdr:y>1</cdr:y>
    </cdr:to>
    <cdr:sp macro="" textlink="">
      <cdr:nvSpPr>
        <cdr:cNvPr id="14" name="TextBox 13"/>
        <cdr:cNvSpPr txBox="1"/>
      </cdr:nvSpPr>
      <cdr:spPr>
        <a:xfrm xmlns:a="http://schemas.openxmlformats.org/drawingml/2006/main" rot="16200000">
          <a:off x="3352801" y="3228976"/>
          <a:ext cx="3905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1in</a:t>
          </a:r>
        </a:p>
      </cdr:txBody>
    </cdr:sp>
  </cdr:relSizeAnchor>
  <cdr:relSizeAnchor xmlns:cdr="http://schemas.openxmlformats.org/drawingml/2006/chartDrawing">
    <cdr:from>
      <cdr:x>0.61516</cdr:x>
      <cdr:y>0.85118</cdr:y>
    </cdr:from>
    <cdr:to>
      <cdr:x>0.64769</cdr:x>
      <cdr:y>1</cdr:y>
    </cdr:to>
    <cdr:sp macro="" textlink="">
      <cdr:nvSpPr>
        <cdr:cNvPr id="15" name="TextBox 14"/>
        <cdr:cNvSpPr txBox="1"/>
      </cdr:nvSpPr>
      <cdr:spPr>
        <a:xfrm xmlns:a="http://schemas.openxmlformats.org/drawingml/2006/main" rot="16200000">
          <a:off x="4790836" y="3343035"/>
          <a:ext cx="558492" cy="2611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1.5in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0.83505</cdr:x>
      <cdr:y>0.70865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7680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0.80241</cdr:x>
      <cdr:y>0.03945</cdr:y>
    </cdr:from>
    <cdr:to>
      <cdr:x>0.95017</cdr:x>
      <cdr:y>0.13657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48175" y="123825"/>
          <a:ext cx="8191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NMS(D)=1in</a:t>
          </a:r>
        </a:p>
      </cdr:txBody>
    </cdr:sp>
  </cdr:relSizeAnchor>
  <cdr:relSizeAnchor xmlns:cdr="http://schemas.openxmlformats.org/drawingml/2006/chartDrawing">
    <cdr:from>
      <cdr:x>0.46374</cdr:x>
      <cdr:y>0.88187</cdr:y>
    </cdr:from>
    <cdr:to>
      <cdr:x>0.50759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 rot="16200000">
          <a:off x="2922371" y="3121155"/>
          <a:ext cx="409575" cy="2823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.75</a:t>
          </a:r>
        </a:p>
      </cdr:txBody>
    </cdr:sp>
  </cdr:relSizeAnchor>
  <cdr:relSizeAnchor xmlns:cdr="http://schemas.openxmlformats.org/drawingml/2006/chartDrawing">
    <cdr:from>
      <cdr:x>0.39708</cdr:x>
      <cdr:y>0.89918</cdr:y>
    </cdr:from>
    <cdr:to>
      <cdr:x>0.4254</cdr:x>
      <cdr:y>0.98802</cdr:y>
    </cdr:to>
    <cdr:sp macro="" textlink="">
      <cdr:nvSpPr>
        <cdr:cNvPr id="5" name="TextBox 4"/>
        <cdr:cNvSpPr txBox="1"/>
      </cdr:nvSpPr>
      <cdr:spPr>
        <a:xfrm xmlns:a="http://schemas.openxmlformats.org/drawingml/2006/main" rot="16200000">
          <a:off x="2527893" y="3206157"/>
          <a:ext cx="310557" cy="1847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.5</a:t>
          </a:r>
        </a:p>
      </cdr:txBody>
    </cdr:sp>
  </cdr:relSizeAnchor>
  <cdr:relSizeAnchor xmlns:cdr="http://schemas.openxmlformats.org/drawingml/2006/chartDrawing">
    <cdr:from>
      <cdr:x>0.35037</cdr:x>
      <cdr:y>0.89918</cdr:y>
    </cdr:from>
    <cdr:to>
      <cdr:x>0.39854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 rot="16200000">
          <a:off x="2266951" y="3162300"/>
          <a:ext cx="3524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3/8</a:t>
          </a:r>
        </a:p>
      </cdr:txBody>
    </cdr:sp>
  </cdr:relSizeAnchor>
  <cdr:relSizeAnchor xmlns:cdr="http://schemas.openxmlformats.org/drawingml/2006/chartDrawing">
    <cdr:from>
      <cdr:x>0.27286</cdr:x>
      <cdr:y>0.88615</cdr:y>
    </cdr:from>
    <cdr:to>
      <cdr:x>0.33527</cdr:x>
      <cdr:y>0.99734</cdr:y>
    </cdr:to>
    <cdr:sp macro="" textlink="">
      <cdr:nvSpPr>
        <cdr:cNvPr id="7" name="TextBox 6"/>
        <cdr:cNvSpPr txBox="1"/>
      </cdr:nvSpPr>
      <cdr:spPr>
        <a:xfrm xmlns:a="http://schemas.openxmlformats.org/drawingml/2006/main" rot="16200000">
          <a:off x="1796373" y="3167970"/>
          <a:ext cx="398234" cy="40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#4</a:t>
          </a:r>
        </a:p>
      </cdr:txBody>
    </cdr:sp>
  </cdr:relSizeAnchor>
  <cdr:relSizeAnchor xmlns:cdr="http://schemas.openxmlformats.org/drawingml/2006/chartDrawing">
    <cdr:from>
      <cdr:x>0.86067</cdr:x>
      <cdr:y>0.74468</cdr:y>
    </cdr:from>
    <cdr:to>
      <cdr:x>1</cdr:x>
      <cdr:y>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5924551" y="29527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0.2119</cdr:x>
      <cdr:y>0.89894</cdr:y>
    </cdr:from>
    <cdr:to>
      <cdr:x>0.25689</cdr:x>
      <cdr:y>1</cdr:y>
    </cdr:to>
    <cdr:sp macro="" textlink="">
      <cdr:nvSpPr>
        <cdr:cNvPr id="9" name="TextBox 8"/>
        <cdr:cNvSpPr txBox="1"/>
      </cdr:nvSpPr>
      <cdr:spPr>
        <a:xfrm xmlns:a="http://schemas.openxmlformats.org/drawingml/2006/main" rot="16200000">
          <a:off x="1357314" y="3252788"/>
          <a:ext cx="36195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#8</a:t>
          </a:r>
        </a:p>
      </cdr:txBody>
    </cdr:sp>
  </cdr:relSizeAnchor>
  <cdr:relSizeAnchor xmlns:cdr="http://schemas.openxmlformats.org/drawingml/2006/chartDrawing">
    <cdr:from>
      <cdr:x>0.17199</cdr:x>
      <cdr:y>0.89628</cdr:y>
    </cdr:from>
    <cdr:to>
      <cdr:x>0.21843</cdr:x>
      <cdr:y>1</cdr:y>
    </cdr:to>
    <cdr:sp macro="" textlink="">
      <cdr:nvSpPr>
        <cdr:cNvPr id="10" name="TextBox 9"/>
        <cdr:cNvSpPr txBox="1"/>
      </cdr:nvSpPr>
      <cdr:spPr>
        <a:xfrm xmlns:a="http://schemas.openxmlformats.org/drawingml/2006/main" rot="16200000">
          <a:off x="1095376" y="3243263"/>
          <a:ext cx="3714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#16</a:t>
          </a:r>
        </a:p>
      </cdr:txBody>
    </cdr:sp>
  </cdr:relSizeAnchor>
  <cdr:relSizeAnchor xmlns:cdr="http://schemas.openxmlformats.org/drawingml/2006/chartDrawing">
    <cdr:from>
      <cdr:x>0.13788</cdr:x>
      <cdr:y>0.89362</cdr:y>
    </cdr:from>
    <cdr:to>
      <cdr:x>0.18142</cdr:x>
      <cdr:y>1</cdr:y>
    </cdr:to>
    <cdr:sp macro="" textlink="">
      <cdr:nvSpPr>
        <cdr:cNvPr id="11" name="TextBox 10"/>
        <cdr:cNvSpPr txBox="1"/>
      </cdr:nvSpPr>
      <cdr:spPr>
        <a:xfrm xmlns:a="http://schemas.openxmlformats.org/drawingml/2006/main" rot="16200000">
          <a:off x="857251" y="3248026"/>
          <a:ext cx="3810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#30</a:t>
          </a:r>
        </a:p>
      </cdr:txBody>
    </cdr:sp>
  </cdr:relSizeAnchor>
  <cdr:relSizeAnchor xmlns:cdr="http://schemas.openxmlformats.org/drawingml/2006/chartDrawing">
    <cdr:from>
      <cdr:x>0.11321</cdr:x>
      <cdr:y>0.88298</cdr:y>
    </cdr:from>
    <cdr:to>
      <cdr:x>0.15675</cdr:x>
      <cdr:y>1</cdr:y>
    </cdr:to>
    <cdr:sp macro="" textlink="">
      <cdr:nvSpPr>
        <cdr:cNvPr id="12" name="TextBox 11"/>
        <cdr:cNvSpPr txBox="1"/>
      </cdr:nvSpPr>
      <cdr:spPr>
        <a:xfrm xmlns:a="http://schemas.openxmlformats.org/drawingml/2006/main" rot="16200000">
          <a:off x="676276" y="3228975"/>
          <a:ext cx="4191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#50</a:t>
          </a:r>
        </a:p>
      </cdr:txBody>
    </cdr:sp>
  </cdr:relSizeAnchor>
  <cdr:relSizeAnchor xmlns:cdr="http://schemas.openxmlformats.org/drawingml/2006/chartDrawing">
    <cdr:from>
      <cdr:x>0.09144</cdr:x>
      <cdr:y>0.86436</cdr:y>
    </cdr:from>
    <cdr:to>
      <cdr:x>0.13933</cdr:x>
      <cdr:y>1</cdr:y>
    </cdr:to>
    <cdr:sp macro="" textlink="">
      <cdr:nvSpPr>
        <cdr:cNvPr id="13" name="TextBox 12"/>
        <cdr:cNvSpPr txBox="1"/>
      </cdr:nvSpPr>
      <cdr:spPr>
        <a:xfrm xmlns:a="http://schemas.openxmlformats.org/drawingml/2006/main" rot="16200000">
          <a:off x="514351" y="3181351"/>
          <a:ext cx="48577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i="0"/>
            <a:t>#100</a:t>
          </a:r>
        </a:p>
      </cdr:txBody>
    </cdr:sp>
  </cdr:relSizeAnchor>
  <cdr:relSizeAnchor xmlns:cdr="http://schemas.openxmlformats.org/drawingml/2006/chartDrawing">
    <cdr:from>
      <cdr:x>0.51669</cdr:x>
      <cdr:y>0.89096</cdr:y>
    </cdr:from>
    <cdr:to>
      <cdr:x>0.56459</cdr:x>
      <cdr:y>1</cdr:y>
    </cdr:to>
    <cdr:sp macro="" textlink="">
      <cdr:nvSpPr>
        <cdr:cNvPr id="14" name="TextBox 13"/>
        <cdr:cNvSpPr txBox="1"/>
      </cdr:nvSpPr>
      <cdr:spPr>
        <a:xfrm xmlns:a="http://schemas.openxmlformats.org/drawingml/2006/main" rot="16200000">
          <a:off x="3352801" y="3228976"/>
          <a:ext cx="3905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1in</a:t>
          </a:r>
        </a:p>
      </cdr:txBody>
    </cdr:sp>
  </cdr:relSizeAnchor>
  <cdr:relSizeAnchor xmlns:cdr="http://schemas.openxmlformats.org/drawingml/2006/chartDrawing">
    <cdr:from>
      <cdr:x>0.61516</cdr:x>
      <cdr:y>0.85118</cdr:y>
    </cdr:from>
    <cdr:to>
      <cdr:x>0.64769</cdr:x>
      <cdr:y>1</cdr:y>
    </cdr:to>
    <cdr:sp macro="" textlink="">
      <cdr:nvSpPr>
        <cdr:cNvPr id="15" name="TextBox 14"/>
        <cdr:cNvSpPr txBox="1"/>
      </cdr:nvSpPr>
      <cdr:spPr>
        <a:xfrm xmlns:a="http://schemas.openxmlformats.org/drawingml/2006/main" rot="16200000">
          <a:off x="4790836" y="3343035"/>
          <a:ext cx="558492" cy="2611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1.5in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0.83505</cdr:x>
      <cdr:y>0.70865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7680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0.80241</cdr:x>
      <cdr:y>0.03945</cdr:y>
    </cdr:from>
    <cdr:to>
      <cdr:x>0.95017</cdr:x>
      <cdr:y>0.13657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48175" y="123825"/>
          <a:ext cx="8191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NMS(D)=1in</a:t>
          </a:r>
        </a:p>
      </cdr:txBody>
    </cdr:sp>
  </cdr:relSizeAnchor>
  <cdr:relSizeAnchor xmlns:cdr="http://schemas.openxmlformats.org/drawingml/2006/chartDrawing">
    <cdr:from>
      <cdr:x>0.46374</cdr:x>
      <cdr:y>0.88187</cdr:y>
    </cdr:from>
    <cdr:to>
      <cdr:x>0.50759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 rot="16200000">
          <a:off x="2922371" y="3121155"/>
          <a:ext cx="409575" cy="2823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.75</a:t>
          </a:r>
        </a:p>
      </cdr:txBody>
    </cdr:sp>
  </cdr:relSizeAnchor>
  <cdr:relSizeAnchor xmlns:cdr="http://schemas.openxmlformats.org/drawingml/2006/chartDrawing">
    <cdr:from>
      <cdr:x>0.39708</cdr:x>
      <cdr:y>0.89918</cdr:y>
    </cdr:from>
    <cdr:to>
      <cdr:x>0.4254</cdr:x>
      <cdr:y>0.98802</cdr:y>
    </cdr:to>
    <cdr:sp macro="" textlink="">
      <cdr:nvSpPr>
        <cdr:cNvPr id="5" name="TextBox 4"/>
        <cdr:cNvSpPr txBox="1"/>
      </cdr:nvSpPr>
      <cdr:spPr>
        <a:xfrm xmlns:a="http://schemas.openxmlformats.org/drawingml/2006/main" rot="16200000">
          <a:off x="2527893" y="3206157"/>
          <a:ext cx="310557" cy="1847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.5</a:t>
          </a:r>
        </a:p>
      </cdr:txBody>
    </cdr:sp>
  </cdr:relSizeAnchor>
  <cdr:relSizeAnchor xmlns:cdr="http://schemas.openxmlformats.org/drawingml/2006/chartDrawing">
    <cdr:from>
      <cdr:x>0.35037</cdr:x>
      <cdr:y>0.89918</cdr:y>
    </cdr:from>
    <cdr:to>
      <cdr:x>0.39854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 rot="16200000">
          <a:off x="2266951" y="3162300"/>
          <a:ext cx="3524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3/8</a:t>
          </a:r>
        </a:p>
      </cdr:txBody>
    </cdr:sp>
  </cdr:relSizeAnchor>
  <cdr:relSizeAnchor xmlns:cdr="http://schemas.openxmlformats.org/drawingml/2006/chartDrawing">
    <cdr:from>
      <cdr:x>0.27286</cdr:x>
      <cdr:y>0.88615</cdr:y>
    </cdr:from>
    <cdr:to>
      <cdr:x>0.33527</cdr:x>
      <cdr:y>0.99734</cdr:y>
    </cdr:to>
    <cdr:sp macro="" textlink="">
      <cdr:nvSpPr>
        <cdr:cNvPr id="7" name="TextBox 6"/>
        <cdr:cNvSpPr txBox="1"/>
      </cdr:nvSpPr>
      <cdr:spPr>
        <a:xfrm xmlns:a="http://schemas.openxmlformats.org/drawingml/2006/main" rot="16200000">
          <a:off x="1796373" y="3167970"/>
          <a:ext cx="398234" cy="40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#4</a:t>
          </a:r>
        </a:p>
      </cdr:txBody>
    </cdr:sp>
  </cdr:relSizeAnchor>
  <cdr:relSizeAnchor xmlns:cdr="http://schemas.openxmlformats.org/drawingml/2006/chartDrawing">
    <cdr:from>
      <cdr:x>0.86067</cdr:x>
      <cdr:y>0.74468</cdr:y>
    </cdr:from>
    <cdr:to>
      <cdr:x>1</cdr:x>
      <cdr:y>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5924551" y="29527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0.2119</cdr:x>
      <cdr:y>0.89894</cdr:y>
    </cdr:from>
    <cdr:to>
      <cdr:x>0.25689</cdr:x>
      <cdr:y>1</cdr:y>
    </cdr:to>
    <cdr:sp macro="" textlink="">
      <cdr:nvSpPr>
        <cdr:cNvPr id="9" name="TextBox 8"/>
        <cdr:cNvSpPr txBox="1"/>
      </cdr:nvSpPr>
      <cdr:spPr>
        <a:xfrm xmlns:a="http://schemas.openxmlformats.org/drawingml/2006/main" rot="16200000">
          <a:off x="1357314" y="3252788"/>
          <a:ext cx="36195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#8</a:t>
          </a:r>
        </a:p>
      </cdr:txBody>
    </cdr:sp>
  </cdr:relSizeAnchor>
  <cdr:relSizeAnchor xmlns:cdr="http://schemas.openxmlformats.org/drawingml/2006/chartDrawing">
    <cdr:from>
      <cdr:x>0.17199</cdr:x>
      <cdr:y>0.89628</cdr:y>
    </cdr:from>
    <cdr:to>
      <cdr:x>0.21843</cdr:x>
      <cdr:y>1</cdr:y>
    </cdr:to>
    <cdr:sp macro="" textlink="">
      <cdr:nvSpPr>
        <cdr:cNvPr id="10" name="TextBox 9"/>
        <cdr:cNvSpPr txBox="1"/>
      </cdr:nvSpPr>
      <cdr:spPr>
        <a:xfrm xmlns:a="http://schemas.openxmlformats.org/drawingml/2006/main" rot="16200000">
          <a:off x="1095376" y="3243263"/>
          <a:ext cx="3714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#16</a:t>
          </a:r>
        </a:p>
      </cdr:txBody>
    </cdr:sp>
  </cdr:relSizeAnchor>
  <cdr:relSizeAnchor xmlns:cdr="http://schemas.openxmlformats.org/drawingml/2006/chartDrawing">
    <cdr:from>
      <cdr:x>0.13788</cdr:x>
      <cdr:y>0.89362</cdr:y>
    </cdr:from>
    <cdr:to>
      <cdr:x>0.18142</cdr:x>
      <cdr:y>1</cdr:y>
    </cdr:to>
    <cdr:sp macro="" textlink="">
      <cdr:nvSpPr>
        <cdr:cNvPr id="11" name="TextBox 10"/>
        <cdr:cNvSpPr txBox="1"/>
      </cdr:nvSpPr>
      <cdr:spPr>
        <a:xfrm xmlns:a="http://schemas.openxmlformats.org/drawingml/2006/main" rot="16200000">
          <a:off x="857251" y="3248026"/>
          <a:ext cx="3810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#30</a:t>
          </a:r>
        </a:p>
      </cdr:txBody>
    </cdr:sp>
  </cdr:relSizeAnchor>
  <cdr:relSizeAnchor xmlns:cdr="http://schemas.openxmlformats.org/drawingml/2006/chartDrawing">
    <cdr:from>
      <cdr:x>0.11321</cdr:x>
      <cdr:y>0.88298</cdr:y>
    </cdr:from>
    <cdr:to>
      <cdr:x>0.15675</cdr:x>
      <cdr:y>1</cdr:y>
    </cdr:to>
    <cdr:sp macro="" textlink="">
      <cdr:nvSpPr>
        <cdr:cNvPr id="12" name="TextBox 11"/>
        <cdr:cNvSpPr txBox="1"/>
      </cdr:nvSpPr>
      <cdr:spPr>
        <a:xfrm xmlns:a="http://schemas.openxmlformats.org/drawingml/2006/main" rot="16200000">
          <a:off x="676276" y="3228975"/>
          <a:ext cx="4191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#50</a:t>
          </a:r>
        </a:p>
      </cdr:txBody>
    </cdr:sp>
  </cdr:relSizeAnchor>
  <cdr:relSizeAnchor xmlns:cdr="http://schemas.openxmlformats.org/drawingml/2006/chartDrawing">
    <cdr:from>
      <cdr:x>0.09144</cdr:x>
      <cdr:y>0.86436</cdr:y>
    </cdr:from>
    <cdr:to>
      <cdr:x>0.13933</cdr:x>
      <cdr:y>1</cdr:y>
    </cdr:to>
    <cdr:sp macro="" textlink="">
      <cdr:nvSpPr>
        <cdr:cNvPr id="13" name="TextBox 12"/>
        <cdr:cNvSpPr txBox="1"/>
      </cdr:nvSpPr>
      <cdr:spPr>
        <a:xfrm xmlns:a="http://schemas.openxmlformats.org/drawingml/2006/main" rot="16200000">
          <a:off x="514351" y="3181351"/>
          <a:ext cx="48577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i="0"/>
            <a:t>#100</a:t>
          </a:r>
        </a:p>
      </cdr:txBody>
    </cdr:sp>
  </cdr:relSizeAnchor>
  <cdr:relSizeAnchor xmlns:cdr="http://schemas.openxmlformats.org/drawingml/2006/chartDrawing">
    <cdr:from>
      <cdr:x>0.51669</cdr:x>
      <cdr:y>0.89096</cdr:y>
    </cdr:from>
    <cdr:to>
      <cdr:x>0.56459</cdr:x>
      <cdr:y>1</cdr:y>
    </cdr:to>
    <cdr:sp macro="" textlink="">
      <cdr:nvSpPr>
        <cdr:cNvPr id="14" name="TextBox 13"/>
        <cdr:cNvSpPr txBox="1"/>
      </cdr:nvSpPr>
      <cdr:spPr>
        <a:xfrm xmlns:a="http://schemas.openxmlformats.org/drawingml/2006/main" rot="16200000">
          <a:off x="3352801" y="3228976"/>
          <a:ext cx="3905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1in</a:t>
          </a:r>
        </a:p>
      </cdr:txBody>
    </cdr:sp>
  </cdr:relSizeAnchor>
  <cdr:relSizeAnchor xmlns:cdr="http://schemas.openxmlformats.org/drawingml/2006/chartDrawing">
    <cdr:from>
      <cdr:x>0.61516</cdr:x>
      <cdr:y>0.85118</cdr:y>
    </cdr:from>
    <cdr:to>
      <cdr:x>0.64769</cdr:x>
      <cdr:y>1</cdr:y>
    </cdr:to>
    <cdr:sp macro="" textlink="">
      <cdr:nvSpPr>
        <cdr:cNvPr id="15" name="TextBox 14"/>
        <cdr:cNvSpPr txBox="1"/>
      </cdr:nvSpPr>
      <cdr:spPr>
        <a:xfrm xmlns:a="http://schemas.openxmlformats.org/drawingml/2006/main" rot="16200000">
          <a:off x="4790836" y="3343035"/>
          <a:ext cx="558492" cy="2611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1.5in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0.83505</cdr:x>
      <cdr:y>0.70865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7680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0.80241</cdr:x>
      <cdr:y>0.03945</cdr:y>
    </cdr:from>
    <cdr:to>
      <cdr:x>0.95017</cdr:x>
      <cdr:y>0.13657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48175" y="123825"/>
          <a:ext cx="8191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NMS(D)=1in</a:t>
          </a:r>
        </a:p>
      </cdr:txBody>
    </cdr:sp>
  </cdr:relSizeAnchor>
  <cdr:relSizeAnchor xmlns:cdr="http://schemas.openxmlformats.org/drawingml/2006/chartDrawing">
    <cdr:from>
      <cdr:x>0.46374</cdr:x>
      <cdr:y>0.88187</cdr:y>
    </cdr:from>
    <cdr:to>
      <cdr:x>0.50759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 rot="16200000">
          <a:off x="2922371" y="3121155"/>
          <a:ext cx="409575" cy="2823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.75</a:t>
          </a:r>
        </a:p>
      </cdr:txBody>
    </cdr:sp>
  </cdr:relSizeAnchor>
  <cdr:relSizeAnchor xmlns:cdr="http://schemas.openxmlformats.org/drawingml/2006/chartDrawing">
    <cdr:from>
      <cdr:x>0.39708</cdr:x>
      <cdr:y>0.89918</cdr:y>
    </cdr:from>
    <cdr:to>
      <cdr:x>0.4254</cdr:x>
      <cdr:y>0.98802</cdr:y>
    </cdr:to>
    <cdr:sp macro="" textlink="">
      <cdr:nvSpPr>
        <cdr:cNvPr id="5" name="TextBox 4"/>
        <cdr:cNvSpPr txBox="1"/>
      </cdr:nvSpPr>
      <cdr:spPr>
        <a:xfrm xmlns:a="http://schemas.openxmlformats.org/drawingml/2006/main" rot="16200000">
          <a:off x="2527893" y="3206157"/>
          <a:ext cx="310557" cy="1847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.5</a:t>
          </a:r>
        </a:p>
      </cdr:txBody>
    </cdr:sp>
  </cdr:relSizeAnchor>
  <cdr:relSizeAnchor xmlns:cdr="http://schemas.openxmlformats.org/drawingml/2006/chartDrawing">
    <cdr:from>
      <cdr:x>0.35037</cdr:x>
      <cdr:y>0.89918</cdr:y>
    </cdr:from>
    <cdr:to>
      <cdr:x>0.39854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 rot="16200000">
          <a:off x="2266951" y="3162300"/>
          <a:ext cx="3524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3/8</a:t>
          </a:r>
        </a:p>
      </cdr:txBody>
    </cdr:sp>
  </cdr:relSizeAnchor>
  <cdr:relSizeAnchor xmlns:cdr="http://schemas.openxmlformats.org/drawingml/2006/chartDrawing">
    <cdr:from>
      <cdr:x>0.27286</cdr:x>
      <cdr:y>0.88615</cdr:y>
    </cdr:from>
    <cdr:to>
      <cdr:x>0.33527</cdr:x>
      <cdr:y>0.99734</cdr:y>
    </cdr:to>
    <cdr:sp macro="" textlink="">
      <cdr:nvSpPr>
        <cdr:cNvPr id="7" name="TextBox 6"/>
        <cdr:cNvSpPr txBox="1"/>
      </cdr:nvSpPr>
      <cdr:spPr>
        <a:xfrm xmlns:a="http://schemas.openxmlformats.org/drawingml/2006/main" rot="16200000">
          <a:off x="1796373" y="3167970"/>
          <a:ext cx="398234" cy="40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#4</a:t>
          </a:r>
        </a:p>
      </cdr:txBody>
    </cdr:sp>
  </cdr:relSizeAnchor>
  <cdr:relSizeAnchor xmlns:cdr="http://schemas.openxmlformats.org/drawingml/2006/chartDrawing">
    <cdr:from>
      <cdr:x>0.86067</cdr:x>
      <cdr:y>0.74468</cdr:y>
    </cdr:from>
    <cdr:to>
      <cdr:x>1</cdr:x>
      <cdr:y>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5924551" y="29527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0.2119</cdr:x>
      <cdr:y>0.89894</cdr:y>
    </cdr:from>
    <cdr:to>
      <cdr:x>0.25689</cdr:x>
      <cdr:y>1</cdr:y>
    </cdr:to>
    <cdr:sp macro="" textlink="">
      <cdr:nvSpPr>
        <cdr:cNvPr id="9" name="TextBox 8"/>
        <cdr:cNvSpPr txBox="1"/>
      </cdr:nvSpPr>
      <cdr:spPr>
        <a:xfrm xmlns:a="http://schemas.openxmlformats.org/drawingml/2006/main" rot="16200000">
          <a:off x="1357314" y="3252788"/>
          <a:ext cx="36195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#8</a:t>
          </a:r>
        </a:p>
      </cdr:txBody>
    </cdr:sp>
  </cdr:relSizeAnchor>
  <cdr:relSizeAnchor xmlns:cdr="http://schemas.openxmlformats.org/drawingml/2006/chartDrawing">
    <cdr:from>
      <cdr:x>0.17199</cdr:x>
      <cdr:y>0.89628</cdr:y>
    </cdr:from>
    <cdr:to>
      <cdr:x>0.21843</cdr:x>
      <cdr:y>1</cdr:y>
    </cdr:to>
    <cdr:sp macro="" textlink="">
      <cdr:nvSpPr>
        <cdr:cNvPr id="10" name="TextBox 9"/>
        <cdr:cNvSpPr txBox="1"/>
      </cdr:nvSpPr>
      <cdr:spPr>
        <a:xfrm xmlns:a="http://schemas.openxmlformats.org/drawingml/2006/main" rot="16200000">
          <a:off x="1095376" y="3243263"/>
          <a:ext cx="3714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#16</a:t>
          </a:r>
        </a:p>
      </cdr:txBody>
    </cdr:sp>
  </cdr:relSizeAnchor>
  <cdr:relSizeAnchor xmlns:cdr="http://schemas.openxmlformats.org/drawingml/2006/chartDrawing">
    <cdr:from>
      <cdr:x>0.13788</cdr:x>
      <cdr:y>0.89362</cdr:y>
    </cdr:from>
    <cdr:to>
      <cdr:x>0.18142</cdr:x>
      <cdr:y>1</cdr:y>
    </cdr:to>
    <cdr:sp macro="" textlink="">
      <cdr:nvSpPr>
        <cdr:cNvPr id="11" name="TextBox 10"/>
        <cdr:cNvSpPr txBox="1"/>
      </cdr:nvSpPr>
      <cdr:spPr>
        <a:xfrm xmlns:a="http://schemas.openxmlformats.org/drawingml/2006/main" rot="16200000">
          <a:off x="857251" y="3248026"/>
          <a:ext cx="3810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#30</a:t>
          </a:r>
        </a:p>
      </cdr:txBody>
    </cdr:sp>
  </cdr:relSizeAnchor>
  <cdr:relSizeAnchor xmlns:cdr="http://schemas.openxmlformats.org/drawingml/2006/chartDrawing">
    <cdr:from>
      <cdr:x>0.11321</cdr:x>
      <cdr:y>0.88298</cdr:y>
    </cdr:from>
    <cdr:to>
      <cdr:x>0.15675</cdr:x>
      <cdr:y>1</cdr:y>
    </cdr:to>
    <cdr:sp macro="" textlink="">
      <cdr:nvSpPr>
        <cdr:cNvPr id="12" name="TextBox 11"/>
        <cdr:cNvSpPr txBox="1"/>
      </cdr:nvSpPr>
      <cdr:spPr>
        <a:xfrm xmlns:a="http://schemas.openxmlformats.org/drawingml/2006/main" rot="16200000">
          <a:off x="676276" y="3228975"/>
          <a:ext cx="4191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#50</a:t>
          </a:r>
        </a:p>
      </cdr:txBody>
    </cdr:sp>
  </cdr:relSizeAnchor>
  <cdr:relSizeAnchor xmlns:cdr="http://schemas.openxmlformats.org/drawingml/2006/chartDrawing">
    <cdr:from>
      <cdr:x>0.09144</cdr:x>
      <cdr:y>0.86436</cdr:y>
    </cdr:from>
    <cdr:to>
      <cdr:x>0.13933</cdr:x>
      <cdr:y>1</cdr:y>
    </cdr:to>
    <cdr:sp macro="" textlink="">
      <cdr:nvSpPr>
        <cdr:cNvPr id="13" name="TextBox 12"/>
        <cdr:cNvSpPr txBox="1"/>
      </cdr:nvSpPr>
      <cdr:spPr>
        <a:xfrm xmlns:a="http://schemas.openxmlformats.org/drawingml/2006/main" rot="16200000">
          <a:off x="514351" y="3181351"/>
          <a:ext cx="48577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i="0"/>
            <a:t>#100</a:t>
          </a:r>
        </a:p>
      </cdr:txBody>
    </cdr:sp>
  </cdr:relSizeAnchor>
  <cdr:relSizeAnchor xmlns:cdr="http://schemas.openxmlformats.org/drawingml/2006/chartDrawing">
    <cdr:from>
      <cdr:x>0.51669</cdr:x>
      <cdr:y>0.89096</cdr:y>
    </cdr:from>
    <cdr:to>
      <cdr:x>0.56459</cdr:x>
      <cdr:y>1</cdr:y>
    </cdr:to>
    <cdr:sp macro="" textlink="">
      <cdr:nvSpPr>
        <cdr:cNvPr id="14" name="TextBox 13"/>
        <cdr:cNvSpPr txBox="1"/>
      </cdr:nvSpPr>
      <cdr:spPr>
        <a:xfrm xmlns:a="http://schemas.openxmlformats.org/drawingml/2006/main" rot="16200000">
          <a:off x="3352801" y="3228976"/>
          <a:ext cx="3905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1in</a:t>
          </a:r>
        </a:p>
      </cdr:txBody>
    </cdr:sp>
  </cdr:relSizeAnchor>
  <cdr:relSizeAnchor xmlns:cdr="http://schemas.openxmlformats.org/drawingml/2006/chartDrawing">
    <cdr:from>
      <cdr:x>0.61516</cdr:x>
      <cdr:y>0.85118</cdr:y>
    </cdr:from>
    <cdr:to>
      <cdr:x>0.64769</cdr:x>
      <cdr:y>1</cdr:y>
    </cdr:to>
    <cdr:sp macro="" textlink="">
      <cdr:nvSpPr>
        <cdr:cNvPr id="15" name="TextBox 14"/>
        <cdr:cNvSpPr txBox="1"/>
      </cdr:nvSpPr>
      <cdr:spPr>
        <a:xfrm xmlns:a="http://schemas.openxmlformats.org/drawingml/2006/main" rot="16200000">
          <a:off x="4790836" y="3343035"/>
          <a:ext cx="558492" cy="2611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1.5in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251391</xdr:colOff>
      <xdr:row>56</xdr:row>
      <xdr:rowOff>178255</xdr:rowOff>
    </xdr:from>
    <xdr:to>
      <xdr:col>9</xdr:col>
      <xdr:colOff>87085</xdr:colOff>
      <xdr:row>83</xdr:row>
      <xdr:rowOff>26913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0.83505</cdr:x>
      <cdr:y>0.70865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7680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0.80241</cdr:x>
      <cdr:y>0.03945</cdr:y>
    </cdr:from>
    <cdr:to>
      <cdr:x>0.95017</cdr:x>
      <cdr:y>0.13657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48175" y="123825"/>
          <a:ext cx="8191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NMS(D)=1in</a:t>
          </a:r>
        </a:p>
      </cdr:txBody>
    </cdr:sp>
  </cdr:relSizeAnchor>
  <cdr:relSizeAnchor xmlns:cdr="http://schemas.openxmlformats.org/drawingml/2006/chartDrawing">
    <cdr:from>
      <cdr:x>0.46374</cdr:x>
      <cdr:y>0.88187</cdr:y>
    </cdr:from>
    <cdr:to>
      <cdr:x>0.50759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 rot="16200000">
          <a:off x="2922371" y="3121155"/>
          <a:ext cx="409575" cy="2823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.75</a:t>
          </a:r>
        </a:p>
      </cdr:txBody>
    </cdr:sp>
  </cdr:relSizeAnchor>
  <cdr:relSizeAnchor xmlns:cdr="http://schemas.openxmlformats.org/drawingml/2006/chartDrawing">
    <cdr:from>
      <cdr:x>0.39708</cdr:x>
      <cdr:y>0.89918</cdr:y>
    </cdr:from>
    <cdr:to>
      <cdr:x>0.4254</cdr:x>
      <cdr:y>0.98802</cdr:y>
    </cdr:to>
    <cdr:sp macro="" textlink="">
      <cdr:nvSpPr>
        <cdr:cNvPr id="5" name="TextBox 4"/>
        <cdr:cNvSpPr txBox="1"/>
      </cdr:nvSpPr>
      <cdr:spPr>
        <a:xfrm xmlns:a="http://schemas.openxmlformats.org/drawingml/2006/main" rot="16200000">
          <a:off x="2527893" y="3206157"/>
          <a:ext cx="310557" cy="1847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.5</a:t>
          </a:r>
        </a:p>
      </cdr:txBody>
    </cdr:sp>
  </cdr:relSizeAnchor>
  <cdr:relSizeAnchor xmlns:cdr="http://schemas.openxmlformats.org/drawingml/2006/chartDrawing">
    <cdr:from>
      <cdr:x>0.35037</cdr:x>
      <cdr:y>0.89918</cdr:y>
    </cdr:from>
    <cdr:to>
      <cdr:x>0.39854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 rot="16200000">
          <a:off x="2266951" y="3162300"/>
          <a:ext cx="3524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3/8</a:t>
          </a:r>
        </a:p>
      </cdr:txBody>
    </cdr:sp>
  </cdr:relSizeAnchor>
  <cdr:relSizeAnchor xmlns:cdr="http://schemas.openxmlformats.org/drawingml/2006/chartDrawing">
    <cdr:from>
      <cdr:x>0.27286</cdr:x>
      <cdr:y>0.88615</cdr:y>
    </cdr:from>
    <cdr:to>
      <cdr:x>0.33527</cdr:x>
      <cdr:y>0.99734</cdr:y>
    </cdr:to>
    <cdr:sp macro="" textlink="">
      <cdr:nvSpPr>
        <cdr:cNvPr id="7" name="TextBox 6"/>
        <cdr:cNvSpPr txBox="1"/>
      </cdr:nvSpPr>
      <cdr:spPr>
        <a:xfrm xmlns:a="http://schemas.openxmlformats.org/drawingml/2006/main" rot="16200000">
          <a:off x="1796373" y="3167970"/>
          <a:ext cx="398234" cy="40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#4</a:t>
          </a:r>
        </a:p>
      </cdr:txBody>
    </cdr:sp>
  </cdr:relSizeAnchor>
  <cdr:relSizeAnchor xmlns:cdr="http://schemas.openxmlformats.org/drawingml/2006/chartDrawing">
    <cdr:from>
      <cdr:x>0.86067</cdr:x>
      <cdr:y>0.74468</cdr:y>
    </cdr:from>
    <cdr:to>
      <cdr:x>1</cdr:x>
      <cdr:y>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5924551" y="29527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0.2119</cdr:x>
      <cdr:y>0.89894</cdr:y>
    </cdr:from>
    <cdr:to>
      <cdr:x>0.25689</cdr:x>
      <cdr:y>1</cdr:y>
    </cdr:to>
    <cdr:sp macro="" textlink="">
      <cdr:nvSpPr>
        <cdr:cNvPr id="9" name="TextBox 8"/>
        <cdr:cNvSpPr txBox="1"/>
      </cdr:nvSpPr>
      <cdr:spPr>
        <a:xfrm xmlns:a="http://schemas.openxmlformats.org/drawingml/2006/main" rot="16200000">
          <a:off x="1357314" y="3252788"/>
          <a:ext cx="36195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#8</a:t>
          </a:r>
        </a:p>
      </cdr:txBody>
    </cdr:sp>
  </cdr:relSizeAnchor>
  <cdr:relSizeAnchor xmlns:cdr="http://schemas.openxmlformats.org/drawingml/2006/chartDrawing">
    <cdr:from>
      <cdr:x>0.17199</cdr:x>
      <cdr:y>0.89628</cdr:y>
    </cdr:from>
    <cdr:to>
      <cdr:x>0.21843</cdr:x>
      <cdr:y>1</cdr:y>
    </cdr:to>
    <cdr:sp macro="" textlink="">
      <cdr:nvSpPr>
        <cdr:cNvPr id="10" name="TextBox 9"/>
        <cdr:cNvSpPr txBox="1"/>
      </cdr:nvSpPr>
      <cdr:spPr>
        <a:xfrm xmlns:a="http://schemas.openxmlformats.org/drawingml/2006/main" rot="16200000">
          <a:off x="1095376" y="3243263"/>
          <a:ext cx="3714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#16</a:t>
          </a:r>
        </a:p>
      </cdr:txBody>
    </cdr:sp>
  </cdr:relSizeAnchor>
  <cdr:relSizeAnchor xmlns:cdr="http://schemas.openxmlformats.org/drawingml/2006/chartDrawing">
    <cdr:from>
      <cdr:x>0.13788</cdr:x>
      <cdr:y>0.89362</cdr:y>
    </cdr:from>
    <cdr:to>
      <cdr:x>0.18142</cdr:x>
      <cdr:y>1</cdr:y>
    </cdr:to>
    <cdr:sp macro="" textlink="">
      <cdr:nvSpPr>
        <cdr:cNvPr id="11" name="TextBox 10"/>
        <cdr:cNvSpPr txBox="1"/>
      </cdr:nvSpPr>
      <cdr:spPr>
        <a:xfrm xmlns:a="http://schemas.openxmlformats.org/drawingml/2006/main" rot="16200000">
          <a:off x="857251" y="3248026"/>
          <a:ext cx="3810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#30</a:t>
          </a:r>
        </a:p>
      </cdr:txBody>
    </cdr:sp>
  </cdr:relSizeAnchor>
  <cdr:relSizeAnchor xmlns:cdr="http://schemas.openxmlformats.org/drawingml/2006/chartDrawing">
    <cdr:from>
      <cdr:x>0.11321</cdr:x>
      <cdr:y>0.88298</cdr:y>
    </cdr:from>
    <cdr:to>
      <cdr:x>0.15675</cdr:x>
      <cdr:y>1</cdr:y>
    </cdr:to>
    <cdr:sp macro="" textlink="">
      <cdr:nvSpPr>
        <cdr:cNvPr id="12" name="TextBox 11"/>
        <cdr:cNvSpPr txBox="1"/>
      </cdr:nvSpPr>
      <cdr:spPr>
        <a:xfrm xmlns:a="http://schemas.openxmlformats.org/drawingml/2006/main" rot="16200000">
          <a:off x="676276" y="3228975"/>
          <a:ext cx="4191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#50</a:t>
          </a:r>
        </a:p>
      </cdr:txBody>
    </cdr:sp>
  </cdr:relSizeAnchor>
  <cdr:relSizeAnchor xmlns:cdr="http://schemas.openxmlformats.org/drawingml/2006/chartDrawing">
    <cdr:from>
      <cdr:x>0.09144</cdr:x>
      <cdr:y>0.86436</cdr:y>
    </cdr:from>
    <cdr:to>
      <cdr:x>0.13933</cdr:x>
      <cdr:y>1</cdr:y>
    </cdr:to>
    <cdr:sp macro="" textlink="">
      <cdr:nvSpPr>
        <cdr:cNvPr id="13" name="TextBox 12"/>
        <cdr:cNvSpPr txBox="1"/>
      </cdr:nvSpPr>
      <cdr:spPr>
        <a:xfrm xmlns:a="http://schemas.openxmlformats.org/drawingml/2006/main" rot="16200000">
          <a:off x="514351" y="3181351"/>
          <a:ext cx="48577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i="0"/>
            <a:t>#100</a:t>
          </a:r>
        </a:p>
      </cdr:txBody>
    </cdr:sp>
  </cdr:relSizeAnchor>
  <cdr:relSizeAnchor xmlns:cdr="http://schemas.openxmlformats.org/drawingml/2006/chartDrawing">
    <cdr:from>
      <cdr:x>0.51669</cdr:x>
      <cdr:y>0.89096</cdr:y>
    </cdr:from>
    <cdr:to>
      <cdr:x>0.56459</cdr:x>
      <cdr:y>1</cdr:y>
    </cdr:to>
    <cdr:sp macro="" textlink="">
      <cdr:nvSpPr>
        <cdr:cNvPr id="14" name="TextBox 13"/>
        <cdr:cNvSpPr txBox="1"/>
      </cdr:nvSpPr>
      <cdr:spPr>
        <a:xfrm xmlns:a="http://schemas.openxmlformats.org/drawingml/2006/main" rot="16200000">
          <a:off x="3352801" y="3228976"/>
          <a:ext cx="3905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1in</a:t>
          </a:r>
        </a:p>
      </cdr:txBody>
    </cdr:sp>
  </cdr:relSizeAnchor>
  <cdr:relSizeAnchor xmlns:cdr="http://schemas.openxmlformats.org/drawingml/2006/chartDrawing">
    <cdr:from>
      <cdr:x>0.61516</cdr:x>
      <cdr:y>0.85118</cdr:y>
    </cdr:from>
    <cdr:to>
      <cdr:x>0.64769</cdr:x>
      <cdr:y>1</cdr:y>
    </cdr:to>
    <cdr:sp macro="" textlink="">
      <cdr:nvSpPr>
        <cdr:cNvPr id="15" name="TextBox 14"/>
        <cdr:cNvSpPr txBox="1"/>
      </cdr:nvSpPr>
      <cdr:spPr>
        <a:xfrm xmlns:a="http://schemas.openxmlformats.org/drawingml/2006/main" rot="16200000">
          <a:off x="4790836" y="3343035"/>
          <a:ext cx="558492" cy="2611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1.5in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0.83505</cdr:x>
      <cdr:y>0.70865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7680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0.80241</cdr:x>
      <cdr:y>0.03945</cdr:y>
    </cdr:from>
    <cdr:to>
      <cdr:x>0.95017</cdr:x>
      <cdr:y>0.13657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48175" y="123825"/>
          <a:ext cx="8191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NMS(D)=1in</a:t>
          </a:r>
        </a:p>
      </cdr:txBody>
    </cdr:sp>
  </cdr:relSizeAnchor>
  <cdr:relSizeAnchor xmlns:cdr="http://schemas.openxmlformats.org/drawingml/2006/chartDrawing">
    <cdr:from>
      <cdr:x>0.46374</cdr:x>
      <cdr:y>0.88187</cdr:y>
    </cdr:from>
    <cdr:to>
      <cdr:x>0.50759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 rot="16200000">
          <a:off x="2922371" y="3121155"/>
          <a:ext cx="409575" cy="2823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.75</a:t>
          </a:r>
        </a:p>
      </cdr:txBody>
    </cdr:sp>
  </cdr:relSizeAnchor>
  <cdr:relSizeAnchor xmlns:cdr="http://schemas.openxmlformats.org/drawingml/2006/chartDrawing">
    <cdr:from>
      <cdr:x>0.39708</cdr:x>
      <cdr:y>0.89918</cdr:y>
    </cdr:from>
    <cdr:to>
      <cdr:x>0.4254</cdr:x>
      <cdr:y>0.98802</cdr:y>
    </cdr:to>
    <cdr:sp macro="" textlink="">
      <cdr:nvSpPr>
        <cdr:cNvPr id="5" name="TextBox 4"/>
        <cdr:cNvSpPr txBox="1"/>
      </cdr:nvSpPr>
      <cdr:spPr>
        <a:xfrm xmlns:a="http://schemas.openxmlformats.org/drawingml/2006/main" rot="16200000">
          <a:off x="2527893" y="3206157"/>
          <a:ext cx="310557" cy="1847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.5</a:t>
          </a:r>
        </a:p>
      </cdr:txBody>
    </cdr:sp>
  </cdr:relSizeAnchor>
  <cdr:relSizeAnchor xmlns:cdr="http://schemas.openxmlformats.org/drawingml/2006/chartDrawing">
    <cdr:from>
      <cdr:x>0.35037</cdr:x>
      <cdr:y>0.89918</cdr:y>
    </cdr:from>
    <cdr:to>
      <cdr:x>0.39854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 rot="16200000">
          <a:off x="2266951" y="3162300"/>
          <a:ext cx="3524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3/8</a:t>
          </a:r>
        </a:p>
      </cdr:txBody>
    </cdr:sp>
  </cdr:relSizeAnchor>
  <cdr:relSizeAnchor xmlns:cdr="http://schemas.openxmlformats.org/drawingml/2006/chartDrawing">
    <cdr:from>
      <cdr:x>0.27286</cdr:x>
      <cdr:y>0.88615</cdr:y>
    </cdr:from>
    <cdr:to>
      <cdr:x>0.33527</cdr:x>
      <cdr:y>0.99734</cdr:y>
    </cdr:to>
    <cdr:sp macro="" textlink="">
      <cdr:nvSpPr>
        <cdr:cNvPr id="7" name="TextBox 6"/>
        <cdr:cNvSpPr txBox="1"/>
      </cdr:nvSpPr>
      <cdr:spPr>
        <a:xfrm xmlns:a="http://schemas.openxmlformats.org/drawingml/2006/main" rot="16200000">
          <a:off x="1796373" y="3167970"/>
          <a:ext cx="398234" cy="40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#4</a:t>
          </a:r>
        </a:p>
      </cdr:txBody>
    </cdr:sp>
  </cdr:relSizeAnchor>
  <cdr:relSizeAnchor xmlns:cdr="http://schemas.openxmlformats.org/drawingml/2006/chartDrawing">
    <cdr:from>
      <cdr:x>0.86067</cdr:x>
      <cdr:y>0.74468</cdr:y>
    </cdr:from>
    <cdr:to>
      <cdr:x>1</cdr:x>
      <cdr:y>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5924551" y="29527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0.2119</cdr:x>
      <cdr:y>0.89894</cdr:y>
    </cdr:from>
    <cdr:to>
      <cdr:x>0.25689</cdr:x>
      <cdr:y>1</cdr:y>
    </cdr:to>
    <cdr:sp macro="" textlink="">
      <cdr:nvSpPr>
        <cdr:cNvPr id="9" name="TextBox 8"/>
        <cdr:cNvSpPr txBox="1"/>
      </cdr:nvSpPr>
      <cdr:spPr>
        <a:xfrm xmlns:a="http://schemas.openxmlformats.org/drawingml/2006/main" rot="16200000">
          <a:off x="1357314" y="3252788"/>
          <a:ext cx="36195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#8</a:t>
          </a:r>
        </a:p>
      </cdr:txBody>
    </cdr:sp>
  </cdr:relSizeAnchor>
  <cdr:relSizeAnchor xmlns:cdr="http://schemas.openxmlformats.org/drawingml/2006/chartDrawing">
    <cdr:from>
      <cdr:x>0.17199</cdr:x>
      <cdr:y>0.89628</cdr:y>
    </cdr:from>
    <cdr:to>
      <cdr:x>0.21843</cdr:x>
      <cdr:y>1</cdr:y>
    </cdr:to>
    <cdr:sp macro="" textlink="">
      <cdr:nvSpPr>
        <cdr:cNvPr id="10" name="TextBox 9"/>
        <cdr:cNvSpPr txBox="1"/>
      </cdr:nvSpPr>
      <cdr:spPr>
        <a:xfrm xmlns:a="http://schemas.openxmlformats.org/drawingml/2006/main" rot="16200000">
          <a:off x="1095376" y="3243263"/>
          <a:ext cx="3714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#16</a:t>
          </a:r>
        </a:p>
      </cdr:txBody>
    </cdr:sp>
  </cdr:relSizeAnchor>
  <cdr:relSizeAnchor xmlns:cdr="http://schemas.openxmlformats.org/drawingml/2006/chartDrawing">
    <cdr:from>
      <cdr:x>0.13788</cdr:x>
      <cdr:y>0.89362</cdr:y>
    </cdr:from>
    <cdr:to>
      <cdr:x>0.18142</cdr:x>
      <cdr:y>1</cdr:y>
    </cdr:to>
    <cdr:sp macro="" textlink="">
      <cdr:nvSpPr>
        <cdr:cNvPr id="11" name="TextBox 10"/>
        <cdr:cNvSpPr txBox="1"/>
      </cdr:nvSpPr>
      <cdr:spPr>
        <a:xfrm xmlns:a="http://schemas.openxmlformats.org/drawingml/2006/main" rot="16200000">
          <a:off x="857251" y="3248026"/>
          <a:ext cx="3810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#30</a:t>
          </a:r>
        </a:p>
      </cdr:txBody>
    </cdr:sp>
  </cdr:relSizeAnchor>
  <cdr:relSizeAnchor xmlns:cdr="http://schemas.openxmlformats.org/drawingml/2006/chartDrawing">
    <cdr:from>
      <cdr:x>0.11321</cdr:x>
      <cdr:y>0.88298</cdr:y>
    </cdr:from>
    <cdr:to>
      <cdr:x>0.15675</cdr:x>
      <cdr:y>1</cdr:y>
    </cdr:to>
    <cdr:sp macro="" textlink="">
      <cdr:nvSpPr>
        <cdr:cNvPr id="12" name="TextBox 11"/>
        <cdr:cNvSpPr txBox="1"/>
      </cdr:nvSpPr>
      <cdr:spPr>
        <a:xfrm xmlns:a="http://schemas.openxmlformats.org/drawingml/2006/main" rot="16200000">
          <a:off x="676276" y="3228975"/>
          <a:ext cx="4191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#50</a:t>
          </a:r>
        </a:p>
      </cdr:txBody>
    </cdr:sp>
  </cdr:relSizeAnchor>
  <cdr:relSizeAnchor xmlns:cdr="http://schemas.openxmlformats.org/drawingml/2006/chartDrawing">
    <cdr:from>
      <cdr:x>0.09144</cdr:x>
      <cdr:y>0.86436</cdr:y>
    </cdr:from>
    <cdr:to>
      <cdr:x>0.13933</cdr:x>
      <cdr:y>1</cdr:y>
    </cdr:to>
    <cdr:sp macro="" textlink="">
      <cdr:nvSpPr>
        <cdr:cNvPr id="13" name="TextBox 12"/>
        <cdr:cNvSpPr txBox="1"/>
      </cdr:nvSpPr>
      <cdr:spPr>
        <a:xfrm xmlns:a="http://schemas.openxmlformats.org/drawingml/2006/main" rot="16200000">
          <a:off x="514351" y="3181351"/>
          <a:ext cx="48577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i="0"/>
            <a:t>#100</a:t>
          </a:r>
        </a:p>
      </cdr:txBody>
    </cdr:sp>
  </cdr:relSizeAnchor>
  <cdr:relSizeAnchor xmlns:cdr="http://schemas.openxmlformats.org/drawingml/2006/chartDrawing">
    <cdr:from>
      <cdr:x>0.51669</cdr:x>
      <cdr:y>0.89096</cdr:y>
    </cdr:from>
    <cdr:to>
      <cdr:x>0.56459</cdr:x>
      <cdr:y>1</cdr:y>
    </cdr:to>
    <cdr:sp macro="" textlink="">
      <cdr:nvSpPr>
        <cdr:cNvPr id="14" name="TextBox 13"/>
        <cdr:cNvSpPr txBox="1"/>
      </cdr:nvSpPr>
      <cdr:spPr>
        <a:xfrm xmlns:a="http://schemas.openxmlformats.org/drawingml/2006/main" rot="16200000">
          <a:off x="3352801" y="3228976"/>
          <a:ext cx="3905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1in</a:t>
          </a:r>
        </a:p>
      </cdr:txBody>
    </cdr:sp>
  </cdr:relSizeAnchor>
  <cdr:relSizeAnchor xmlns:cdr="http://schemas.openxmlformats.org/drawingml/2006/chartDrawing">
    <cdr:from>
      <cdr:x>0.61516</cdr:x>
      <cdr:y>0.85118</cdr:y>
    </cdr:from>
    <cdr:to>
      <cdr:x>0.64769</cdr:x>
      <cdr:y>1</cdr:y>
    </cdr:to>
    <cdr:sp macro="" textlink="">
      <cdr:nvSpPr>
        <cdr:cNvPr id="15" name="TextBox 14"/>
        <cdr:cNvSpPr txBox="1"/>
      </cdr:nvSpPr>
      <cdr:spPr>
        <a:xfrm xmlns:a="http://schemas.openxmlformats.org/drawingml/2006/main" rot="16200000">
          <a:off x="4790836" y="3343035"/>
          <a:ext cx="558492" cy="2611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1.5in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0</xdr:row>
      <xdr:rowOff>133350</xdr:rowOff>
    </xdr:from>
    <xdr:to>
      <xdr:col>23</xdr:col>
      <xdr:colOff>466725</xdr:colOff>
      <xdr:row>22</xdr:row>
      <xdr:rowOff>28575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34025" y="133350"/>
          <a:ext cx="8953500" cy="414337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23</xdr:col>
      <xdr:colOff>426720</xdr:colOff>
      <xdr:row>50</xdr:row>
      <xdr:rowOff>68580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86400" y="5524500"/>
          <a:ext cx="8961120" cy="414528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57</xdr:row>
      <xdr:rowOff>0</xdr:rowOff>
    </xdr:from>
    <xdr:to>
      <xdr:col>23</xdr:col>
      <xdr:colOff>426720</xdr:colOff>
      <xdr:row>78</xdr:row>
      <xdr:rowOff>87630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86400" y="10858500"/>
          <a:ext cx="8961120" cy="414528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85</xdr:row>
      <xdr:rowOff>0</xdr:rowOff>
    </xdr:from>
    <xdr:to>
      <xdr:col>23</xdr:col>
      <xdr:colOff>426720</xdr:colOff>
      <xdr:row>106</xdr:row>
      <xdr:rowOff>144780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486400" y="16192500"/>
          <a:ext cx="8961120" cy="414528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112</xdr:row>
      <xdr:rowOff>0</xdr:rowOff>
    </xdr:from>
    <xdr:to>
      <xdr:col>23</xdr:col>
      <xdr:colOff>426720</xdr:colOff>
      <xdr:row>133</xdr:row>
      <xdr:rowOff>144780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486400" y="21336000"/>
          <a:ext cx="8961120" cy="414528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139</xdr:row>
      <xdr:rowOff>0</xdr:rowOff>
    </xdr:from>
    <xdr:to>
      <xdr:col>23</xdr:col>
      <xdr:colOff>426720</xdr:colOff>
      <xdr:row>160</xdr:row>
      <xdr:rowOff>144780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86400" y="26479500"/>
          <a:ext cx="8961120" cy="414528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166</xdr:row>
      <xdr:rowOff>0</xdr:rowOff>
    </xdr:from>
    <xdr:to>
      <xdr:col>23</xdr:col>
      <xdr:colOff>426720</xdr:colOff>
      <xdr:row>187</xdr:row>
      <xdr:rowOff>144780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486400" y="31623000"/>
          <a:ext cx="8961120" cy="414528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193</xdr:row>
      <xdr:rowOff>0</xdr:rowOff>
    </xdr:from>
    <xdr:to>
      <xdr:col>23</xdr:col>
      <xdr:colOff>426720</xdr:colOff>
      <xdr:row>214</xdr:row>
      <xdr:rowOff>144780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5486400" y="36766500"/>
          <a:ext cx="8961120" cy="414528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220</xdr:row>
      <xdr:rowOff>0</xdr:rowOff>
    </xdr:from>
    <xdr:to>
      <xdr:col>23</xdr:col>
      <xdr:colOff>426720</xdr:colOff>
      <xdr:row>241</xdr:row>
      <xdr:rowOff>144780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5486400" y="41929050"/>
          <a:ext cx="8961120" cy="414528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43</xdr:col>
      <xdr:colOff>426720</xdr:colOff>
      <xdr:row>22</xdr:row>
      <xdr:rowOff>87630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7678400" y="190500"/>
          <a:ext cx="8961120" cy="414528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29</xdr:row>
      <xdr:rowOff>0</xdr:rowOff>
    </xdr:from>
    <xdr:to>
      <xdr:col>43</xdr:col>
      <xdr:colOff>426720</xdr:colOff>
      <xdr:row>50</xdr:row>
      <xdr:rowOff>68580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7678400" y="5524500"/>
          <a:ext cx="8961120" cy="414528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57</xdr:row>
      <xdr:rowOff>0</xdr:rowOff>
    </xdr:from>
    <xdr:to>
      <xdr:col>43</xdr:col>
      <xdr:colOff>426720</xdr:colOff>
      <xdr:row>78</xdr:row>
      <xdr:rowOff>87630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7678400" y="10858500"/>
          <a:ext cx="8961120" cy="414528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85</xdr:row>
      <xdr:rowOff>0</xdr:rowOff>
    </xdr:from>
    <xdr:to>
      <xdr:col>43</xdr:col>
      <xdr:colOff>426720</xdr:colOff>
      <xdr:row>106</xdr:row>
      <xdr:rowOff>144780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7678400" y="16211550"/>
          <a:ext cx="8961120" cy="414528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112</xdr:row>
      <xdr:rowOff>0</xdr:rowOff>
    </xdr:from>
    <xdr:to>
      <xdr:col>43</xdr:col>
      <xdr:colOff>426720</xdr:colOff>
      <xdr:row>133</xdr:row>
      <xdr:rowOff>144780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7678400" y="21355050"/>
          <a:ext cx="8961120" cy="4145280"/>
        </a:xfrm>
        <a:prstGeom prst="rect">
          <a:avLst/>
        </a:prstGeom>
      </xdr:spPr>
    </xdr:pic>
    <xdr:clientData/>
  </xdr:twoCellAnchor>
  <xdr:twoCellAnchor>
    <xdr:from>
      <xdr:col>55</xdr:col>
      <xdr:colOff>390525</xdr:colOff>
      <xdr:row>26</xdr:row>
      <xdr:rowOff>19050</xdr:rowOff>
    </xdr:from>
    <xdr:to>
      <xdr:col>65</xdr:col>
      <xdr:colOff>238125</xdr:colOff>
      <xdr:row>40</xdr:row>
      <xdr:rowOff>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55</xdr:col>
      <xdr:colOff>400050</xdr:colOff>
      <xdr:row>45</xdr:row>
      <xdr:rowOff>152399</xdr:rowOff>
    </xdr:from>
    <xdr:to>
      <xdr:col>65</xdr:col>
      <xdr:colOff>285750</xdr:colOff>
      <xdr:row>60</xdr:row>
      <xdr:rowOff>85724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495299</xdr:colOff>
      <xdr:row>61</xdr:row>
      <xdr:rowOff>142874</xdr:rowOff>
    </xdr:from>
    <xdr:to>
      <xdr:col>65</xdr:col>
      <xdr:colOff>371475</xdr:colOff>
      <xdr:row>78</xdr:row>
      <xdr:rowOff>114300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88</xdr:col>
      <xdr:colOff>266699</xdr:colOff>
      <xdr:row>18</xdr:row>
      <xdr:rowOff>80961</xdr:rowOff>
    </xdr:from>
    <xdr:to>
      <xdr:col>100</xdr:col>
      <xdr:colOff>600075</xdr:colOff>
      <xdr:row>38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91</xdr:col>
      <xdr:colOff>247650</xdr:colOff>
      <xdr:row>31</xdr:row>
      <xdr:rowOff>171449</xdr:rowOff>
    </xdr:from>
    <xdr:to>
      <xdr:col>92</xdr:col>
      <xdr:colOff>228599</xdr:colOff>
      <xdr:row>33</xdr:row>
      <xdr:rowOff>28575</xdr:rowOff>
    </xdr:to>
    <xdr:sp macro="" textlink="">
      <xdr:nvSpPr>
        <xdr:cNvPr id="3" name="TextBox 2"/>
        <xdr:cNvSpPr txBox="1"/>
      </xdr:nvSpPr>
      <xdr:spPr>
        <a:xfrm>
          <a:off x="56940450" y="6172199"/>
          <a:ext cx="590549" cy="238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20.2%</a:t>
          </a:r>
        </a:p>
      </xdr:txBody>
    </xdr:sp>
    <xdr:clientData/>
  </xdr:twoCellAnchor>
  <xdr:twoCellAnchor>
    <xdr:from>
      <xdr:col>96</xdr:col>
      <xdr:colOff>152400</xdr:colOff>
      <xdr:row>20</xdr:row>
      <xdr:rowOff>28575</xdr:rowOff>
    </xdr:from>
    <xdr:to>
      <xdr:col>97</xdr:col>
      <xdr:colOff>85725</xdr:colOff>
      <xdr:row>21</xdr:row>
      <xdr:rowOff>38100</xdr:rowOff>
    </xdr:to>
    <xdr:sp macro="" textlink="">
      <xdr:nvSpPr>
        <xdr:cNvPr id="4" name="TextBox 3"/>
        <xdr:cNvSpPr txBox="1"/>
      </xdr:nvSpPr>
      <xdr:spPr>
        <a:xfrm>
          <a:off x="59893200" y="3886200"/>
          <a:ext cx="542925" cy="20955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17.9%</a:t>
          </a:r>
        </a:p>
      </xdr:txBody>
    </xdr:sp>
    <xdr:clientData/>
  </xdr:twoCellAnchor>
  <xdr:twoCellAnchor>
    <xdr:from>
      <xdr:col>96</xdr:col>
      <xdr:colOff>114300</xdr:colOff>
      <xdr:row>21</xdr:row>
      <xdr:rowOff>133350</xdr:rowOff>
    </xdr:from>
    <xdr:to>
      <xdr:col>97</xdr:col>
      <xdr:colOff>85725</xdr:colOff>
      <xdr:row>22</xdr:row>
      <xdr:rowOff>152400</xdr:rowOff>
    </xdr:to>
    <xdr:sp macro="" textlink="">
      <xdr:nvSpPr>
        <xdr:cNvPr id="5" name="TextBox 4"/>
        <xdr:cNvSpPr txBox="1"/>
      </xdr:nvSpPr>
      <xdr:spPr>
        <a:xfrm>
          <a:off x="59855100" y="4191000"/>
          <a:ext cx="581025" cy="209550"/>
        </a:xfrm>
        <a:prstGeom prst="rect">
          <a:avLst/>
        </a:prstGeom>
        <a:solidFill>
          <a:schemeClr val="lt1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18.2%</a:t>
          </a:r>
        </a:p>
      </xdr:txBody>
    </xdr:sp>
    <xdr:clientData/>
  </xdr:twoCellAnchor>
  <xdr:twoCellAnchor>
    <xdr:from>
      <xdr:col>91</xdr:col>
      <xdr:colOff>438150</xdr:colOff>
      <xdr:row>19</xdr:row>
      <xdr:rowOff>171450</xdr:rowOff>
    </xdr:from>
    <xdr:to>
      <xdr:col>92</xdr:col>
      <xdr:colOff>438150</xdr:colOff>
      <xdr:row>21</xdr:row>
      <xdr:rowOff>9525</xdr:rowOff>
    </xdr:to>
    <xdr:sp macro="" textlink="">
      <xdr:nvSpPr>
        <xdr:cNvPr id="6" name="TextBox 5"/>
        <xdr:cNvSpPr txBox="1"/>
      </xdr:nvSpPr>
      <xdr:spPr>
        <a:xfrm>
          <a:off x="57130950" y="3829050"/>
          <a:ext cx="609600" cy="2381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18.5%</a:t>
          </a:r>
        </a:p>
      </xdr:txBody>
    </xdr:sp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0.58833</cdr:x>
      <cdr:y>0.24655</cdr:y>
    </cdr:from>
    <cdr:to>
      <cdr:x>0.68833</cdr:x>
      <cdr:y>0.31394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62325" y="766764"/>
          <a:ext cx="5715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0.59</cdr:x>
      <cdr:y>0.27412</cdr:y>
    </cdr:from>
    <cdr:to>
      <cdr:x>0.69</cdr:x>
      <cdr:y>0.33844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371850" y="852489"/>
          <a:ext cx="5715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0.64508</cdr:x>
      <cdr:y>0.24104</cdr:y>
    </cdr:from>
    <cdr:to>
      <cdr:x>0.72603</cdr:x>
      <cdr:y>0.2979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933951" y="928690"/>
          <a:ext cx="619125" cy="219074"/>
        </a:xfrm>
        <a:prstGeom xmlns:a="http://schemas.openxmlformats.org/drawingml/2006/main" prst="rect">
          <a:avLst/>
        </a:prstGeom>
        <a:ln xmlns:a="http://schemas.openxmlformats.org/drawingml/2006/main" w="3175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17.4%</a:t>
          </a:r>
        </a:p>
      </cdr:txBody>
    </cdr:sp>
  </cdr:relSizeAnchor>
  <cdr:relSizeAnchor xmlns:cdr="http://schemas.openxmlformats.org/drawingml/2006/chartDrawing">
    <cdr:from>
      <cdr:x>0.65131</cdr:x>
      <cdr:y>0.32757</cdr:y>
    </cdr:from>
    <cdr:to>
      <cdr:x>0.73101</cdr:x>
      <cdr:y>0.37701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981576" y="1262064"/>
          <a:ext cx="6096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19.1%</a:t>
          </a:r>
        </a:p>
      </cdr:txBody>
    </cdr:sp>
  </cdr:relSizeAnchor>
  <cdr:relSizeAnchor xmlns:cdr="http://schemas.openxmlformats.org/drawingml/2006/chartDrawing">
    <cdr:from>
      <cdr:x>0.61768</cdr:x>
      <cdr:y>0.43387</cdr:y>
    </cdr:from>
    <cdr:to>
      <cdr:x>0.69863</cdr:x>
      <cdr:y>0.48826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724400" y="1671639"/>
          <a:ext cx="61912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0.64633</cdr:x>
      <cdr:y>0.39679</cdr:y>
    </cdr:from>
    <cdr:to>
      <cdr:x>0.72105</cdr:x>
      <cdr:y>0.45365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943476" y="1528764"/>
          <a:ext cx="5715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19.8%</a:t>
          </a:r>
        </a:p>
      </cdr:txBody>
    </cdr:sp>
  </cdr:relSizeAnchor>
  <cdr:relSizeAnchor xmlns:cdr="http://schemas.openxmlformats.org/drawingml/2006/chartDrawing">
    <cdr:from>
      <cdr:x>0.22042</cdr:x>
      <cdr:y>0.51792</cdr:y>
    </cdr:from>
    <cdr:to>
      <cdr:x>0.29639</cdr:x>
      <cdr:y>0.56984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685925" y="1995488"/>
          <a:ext cx="5810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20.5%</a:t>
          </a:r>
        </a:p>
      </cdr:txBody>
    </cdr:sp>
  </cdr:relSizeAnchor>
  <cdr:relSizeAnchor xmlns:cdr="http://schemas.openxmlformats.org/drawingml/2006/chartDrawing">
    <cdr:from>
      <cdr:x>0.1868</cdr:x>
      <cdr:y>0.3597</cdr:y>
    </cdr:from>
    <cdr:to>
      <cdr:x>0.25778</cdr:x>
      <cdr:y>0.41656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428751" y="1385889"/>
          <a:ext cx="5429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18.6%</a:t>
          </a:r>
        </a:p>
      </cdr:txBody>
    </cdr:sp>
  </cdr:relSizeAnchor>
  <cdr:relSizeAnchor xmlns:cdr="http://schemas.openxmlformats.org/drawingml/2006/chartDrawing">
    <cdr:from>
      <cdr:x>0.22914</cdr:x>
      <cdr:y>0.21384</cdr:y>
    </cdr:from>
    <cdr:to>
      <cdr:x>0.29514</cdr:x>
      <cdr:y>0.26823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1752601" y="823914"/>
          <a:ext cx="50482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18%</a:t>
          </a:r>
        </a:p>
      </cdr:txBody>
    </cdr:sp>
  </cdr:relSizeAnchor>
  <cdr:relSizeAnchor xmlns:cdr="http://schemas.openxmlformats.org/drawingml/2006/chartDrawing">
    <cdr:from>
      <cdr:x>0.467</cdr:x>
      <cdr:y>0.22126</cdr:y>
    </cdr:from>
    <cdr:to>
      <cdr:x>0.55293</cdr:x>
      <cdr:y>0.26823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571876" y="852489"/>
          <a:ext cx="65722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0.39352</cdr:x>
      <cdr:y>0.21879</cdr:y>
    </cdr:from>
    <cdr:to>
      <cdr:x>0.46451</cdr:x>
      <cdr:y>0.28554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009901" y="842963"/>
          <a:ext cx="542925" cy="257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19.9%</a:t>
          </a:r>
        </a:p>
      </cdr:txBody>
    </cdr:sp>
  </cdr:relSizeAnchor>
  <cdr:relSizeAnchor xmlns:cdr="http://schemas.openxmlformats.org/drawingml/2006/chartDrawing">
    <cdr:from>
      <cdr:x>0.42341</cdr:x>
      <cdr:y>0.38443</cdr:y>
    </cdr:from>
    <cdr:to>
      <cdr:x>0.4944</cdr:x>
      <cdr:y>0.45612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3238501" y="1481138"/>
          <a:ext cx="5429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17.7%</a:t>
          </a:r>
        </a:p>
      </cdr:txBody>
    </cdr:sp>
  </cdr:relSizeAnchor>
  <cdr:relSizeAnchor xmlns:cdr="http://schemas.openxmlformats.org/drawingml/2006/chartDrawing">
    <cdr:from>
      <cdr:x>0.38356</cdr:x>
      <cdr:y>0.53523</cdr:y>
    </cdr:from>
    <cdr:to>
      <cdr:x>0.46077</cdr:x>
      <cdr:y>0.59703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2933701" y="2062164"/>
          <a:ext cx="5905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19.2%</a:t>
          </a:r>
        </a:p>
      </cdr:txBody>
    </cdr:sp>
  </cdr:relSizeAnchor>
  <cdr:relSizeAnchor xmlns:cdr="http://schemas.openxmlformats.org/drawingml/2006/chartDrawing">
    <cdr:from>
      <cdr:x>0.34371</cdr:x>
      <cdr:y>0.68356</cdr:y>
    </cdr:from>
    <cdr:to>
      <cdr:x>0.42715</cdr:x>
      <cdr:y>0.74042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2628901" y="2633664"/>
          <a:ext cx="6381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20.2%</a:t>
          </a:r>
        </a:p>
      </cdr:txBody>
    </cdr:sp>
  </cdr:relSizeAnchor>
  <cdr:relSizeAnchor xmlns:cdr="http://schemas.openxmlformats.org/drawingml/2006/chartDrawing">
    <cdr:from>
      <cdr:x>0.30012</cdr:x>
      <cdr:y>0.41656</cdr:y>
    </cdr:from>
    <cdr:to>
      <cdr:x>0.36986</cdr:x>
      <cdr:y>0.48331</cdr:y>
    </cdr:to>
    <cdr:sp macro="" textlink="">
      <cdr:nvSpPr>
        <cdr:cNvPr id="16" name="TextBox 15"/>
        <cdr:cNvSpPr txBox="1"/>
      </cdr:nvSpPr>
      <cdr:spPr>
        <a:xfrm xmlns:a="http://schemas.openxmlformats.org/drawingml/2006/main">
          <a:off x="2295527" y="1604964"/>
          <a:ext cx="5334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18.6%</a:t>
          </a:r>
        </a:p>
      </cdr:txBody>
    </cdr:sp>
  </cdr:relSizeAnchor>
  <cdr:relSizeAnchor xmlns:cdr="http://schemas.openxmlformats.org/drawingml/2006/chartDrawing">
    <cdr:from>
      <cdr:x>0.599</cdr:x>
      <cdr:y>0.5649</cdr:y>
    </cdr:from>
    <cdr:to>
      <cdr:x>0.71108</cdr:x>
      <cdr:y>0.6267</cdr:y>
    </cdr:to>
    <cdr:sp macro="" textlink="">
      <cdr:nvSpPr>
        <cdr:cNvPr id="20" name="Line Callout 2 (No Border) 19"/>
        <cdr:cNvSpPr/>
      </cdr:nvSpPr>
      <cdr:spPr>
        <a:xfrm xmlns:a="http://schemas.openxmlformats.org/drawingml/2006/main">
          <a:off x="4581526" y="2176464"/>
          <a:ext cx="857250" cy="238125"/>
        </a:xfrm>
        <a:prstGeom xmlns:a="http://schemas.openxmlformats.org/drawingml/2006/main" prst="callout2">
          <a:avLst>
            <a:gd name="adj1" fmla="val 18750"/>
            <a:gd name="adj2" fmla="val -8333"/>
            <a:gd name="adj3" fmla="val 18750"/>
            <a:gd name="adj4" fmla="val -16667"/>
            <a:gd name="adj5" fmla="val -303500"/>
            <a:gd name="adj6" fmla="val 45114"/>
          </a:avLst>
        </a:prstGeom>
        <a:solidFill xmlns:a="http://schemas.openxmlformats.org/drawingml/2006/main">
          <a:schemeClr val="accent5">
            <a:lumMod val="60000"/>
            <a:lumOff val="40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/>
            <a:t>void  Ratio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469867</xdr:colOff>
      <xdr:row>13</xdr:row>
      <xdr:rowOff>28575</xdr:rowOff>
    </xdr:from>
    <xdr:ext cx="911257" cy="476250"/>
    <xdr:sp macro="" textlink="">
      <xdr:nvSpPr>
        <xdr:cNvPr id="6" name="TextBox 5"/>
        <xdr:cNvSpPr txBox="1"/>
      </xdr:nvSpPr>
      <xdr:spPr>
        <a:xfrm>
          <a:off x="12747592" y="2514600"/>
          <a:ext cx="911257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333375</xdr:colOff>
      <xdr:row>31</xdr:row>
      <xdr:rowOff>123824</xdr:rowOff>
    </xdr:from>
    <xdr:ext cx="1057275" cy="311496"/>
    <xdr:sp macro="" textlink="">
      <xdr:nvSpPr>
        <xdr:cNvPr id="8" name="TextBox 7"/>
        <xdr:cNvSpPr txBox="1"/>
      </xdr:nvSpPr>
      <xdr:spPr>
        <a:xfrm>
          <a:off x="15659100" y="6124574"/>
          <a:ext cx="105727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i="0">
              <a:latin typeface="Cambria Math"/>
            </a:rPr>
            <a:t>∑24_(</a:t>
          </a:r>
          <a:r>
            <a:rPr lang="en-US" sz="1400" b="0" i="0">
              <a:latin typeface="Cambria Math"/>
            </a:rPr>
            <a:t>𝑖=1)^𝑛▒𝑟</a:t>
          </a:r>
          <a:r>
            <a:rPr lang="en-US" sz="1400" i="0">
              <a:latin typeface="Cambria Math"/>
            </a:rPr>
            <a:t>𝑖=</a:t>
          </a:r>
          <a:r>
            <a:rPr lang="en-US" sz="1400"/>
            <a:t>1</a:t>
          </a:r>
        </a:p>
      </xdr:txBody>
    </xdr:sp>
    <xdr:clientData/>
  </xdr:oneCellAnchor>
  <xdr:oneCellAnchor>
    <xdr:from>
      <xdr:col>23</xdr:col>
      <xdr:colOff>400051</xdr:colOff>
      <xdr:row>31</xdr:row>
      <xdr:rowOff>28575</xdr:rowOff>
    </xdr:from>
    <xdr:ext cx="409574" cy="533400"/>
    <xdr:sp macro="" textlink="">
      <xdr:nvSpPr>
        <xdr:cNvPr id="10" name="TextBox 9"/>
        <xdr:cNvSpPr txBox="1"/>
      </xdr:nvSpPr>
      <xdr:spPr>
        <a:xfrm>
          <a:off x="14506576" y="6029325"/>
          <a:ext cx="409574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i="0">
              <a:latin typeface="Cambria Math"/>
            </a:rPr>
            <a:t>∑24_(</a:t>
          </a:r>
          <a:r>
            <a:rPr lang="en-US" sz="900" b="0" i="0">
              <a:latin typeface="Cambria Math"/>
            </a:rPr>
            <a:t>𝑖=1)^𝑛▒</a:t>
          </a:r>
          <a:r>
            <a:rPr lang="el-GR" sz="900" i="0">
              <a:latin typeface="Cambria Math"/>
            </a:rPr>
            <a:t>𝜙</a:t>
          </a:r>
          <a:r>
            <a:rPr lang="en-US" sz="900" i="0">
              <a:latin typeface="Cambria Math"/>
            </a:rPr>
            <a:t>𝑖</a:t>
          </a:r>
          <a:endParaRPr lang="en-US" sz="900"/>
        </a:p>
      </xdr:txBody>
    </xdr:sp>
    <xdr:clientData/>
  </xdr:oneCellAnchor>
  <xdr:oneCellAnchor>
    <xdr:from>
      <xdr:col>31</xdr:col>
      <xdr:colOff>200342</xdr:colOff>
      <xdr:row>8</xdr:row>
      <xdr:rowOff>132143</xdr:rowOff>
    </xdr:from>
    <xdr:ext cx="1085215" cy="0"/>
    <xdr:sp macro="" textlink="">
      <xdr:nvSpPr>
        <xdr:cNvPr id="5" name="TextBox 4"/>
        <xdr:cNvSpPr txBox="1"/>
      </xdr:nvSpPr>
      <xdr:spPr>
        <a:xfrm>
          <a:off x="67532567" y="36470018"/>
          <a:ext cx="108521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r>
            <a:rPr lang="en-US" sz="1100" i="0">
              <a:latin typeface="Cambria Math"/>
            </a:rPr>
            <a:t>(𝑥+𝑎)^𝑛=∑_(𝑘=0)^𝑛▒〖(𝑛¦𝑘) 𝑥^𝑘 𝑎^(𝑛−𝑘) 〗</a:t>
          </a:r>
          <a:endParaRPr lang="en-US" sz="1100"/>
        </a:p>
      </xdr:txBody>
    </xdr:sp>
    <xdr:clientData/>
  </xdr:oneCellAnchor>
  <xdr:oneCellAnchor>
    <xdr:from>
      <xdr:col>34</xdr:col>
      <xdr:colOff>19368</xdr:colOff>
      <xdr:row>5</xdr:row>
      <xdr:rowOff>28575</xdr:rowOff>
    </xdr:from>
    <xdr:ext cx="1190307" cy="593368"/>
    <xdr:sp macro="" textlink="">
      <xdr:nvSpPr>
        <xdr:cNvPr id="7" name="TextBox 6"/>
        <xdr:cNvSpPr txBox="1"/>
      </xdr:nvSpPr>
      <xdr:spPr>
        <a:xfrm>
          <a:off x="69180393" y="35794950"/>
          <a:ext cx="1190307" cy="5933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i="0">
              <a:latin typeface="Cambria Math"/>
            </a:rPr>
            <a:t>∑</a:t>
          </a:r>
          <a:r>
            <a:rPr lang="en-US" sz="1100" b="0" i="0">
              <a:latin typeface="Cambria Math"/>
            </a:rPr>
            <a:t>_(𝑗=1)^(𝑖−1)▒〖𝑟𝑗−∑_(𝑗=𝑖+1)^𝑛▒𝑟𝑗〗</a:t>
          </a:r>
          <a:endParaRPr lang="en-US" sz="1100"/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</cdr:x>
      <cdr:y>0.18576</cdr:y>
    </cdr:from>
    <cdr:to>
      <cdr:x>1</cdr:x>
      <cdr:y>0.5191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943350" y="50958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0.43602</cdr:x>
      <cdr:y>0.93203</cdr:y>
    </cdr:from>
    <cdr:to>
      <cdr:x>0.58926</cdr:x>
      <cdr:y>1</cdr:y>
    </cdr:to>
    <cdr:sp macro="" textlink="">
      <cdr:nvSpPr>
        <cdr:cNvPr id="57" name="TextBox 56"/>
        <cdr:cNvSpPr txBox="1"/>
      </cdr:nvSpPr>
      <cdr:spPr>
        <a:xfrm xmlns:a="http://schemas.openxmlformats.org/drawingml/2006/main">
          <a:off x="2873919" y="4324370"/>
          <a:ext cx="1010051" cy="315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/>
            <a:t>Sieve</a:t>
          </a:r>
          <a:r>
            <a:rPr lang="en-US" sz="1400" b="1" baseline="0"/>
            <a:t> No.</a:t>
          </a:r>
          <a:endParaRPr lang="en-US" sz="14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476250</xdr:colOff>
      <xdr:row>107</xdr:row>
      <xdr:rowOff>66675</xdr:rowOff>
    </xdr:from>
    <xdr:to>
      <xdr:col>41</xdr:col>
      <xdr:colOff>590551</xdr:colOff>
      <xdr:row>128</xdr:row>
      <xdr:rowOff>57150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457200</xdr:colOff>
      <xdr:row>135</xdr:row>
      <xdr:rowOff>76200</xdr:rowOff>
    </xdr:from>
    <xdr:to>
      <xdr:col>41</xdr:col>
      <xdr:colOff>571501</xdr:colOff>
      <xdr:row>156</xdr:row>
      <xdr:rowOff>66675</xdr:rowOff>
    </xdr:to>
    <xdr:graphicFrame macro="">
      <xdr:nvGraphicFramePr>
        <xdr:cNvPr id="34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371475</xdr:colOff>
      <xdr:row>163</xdr:row>
      <xdr:rowOff>161925</xdr:rowOff>
    </xdr:from>
    <xdr:to>
      <xdr:col>41</xdr:col>
      <xdr:colOff>485776</xdr:colOff>
      <xdr:row>184</xdr:row>
      <xdr:rowOff>152400</xdr:rowOff>
    </xdr:to>
    <xdr:graphicFrame macro="">
      <xdr:nvGraphicFramePr>
        <xdr:cNvPr id="3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400050</xdr:colOff>
      <xdr:row>78</xdr:row>
      <xdr:rowOff>152400</xdr:rowOff>
    </xdr:from>
    <xdr:to>
      <xdr:col>41</xdr:col>
      <xdr:colOff>514351</xdr:colOff>
      <xdr:row>99</xdr:row>
      <xdr:rowOff>142875</xdr:rowOff>
    </xdr:to>
    <xdr:graphicFrame macro="">
      <xdr:nvGraphicFramePr>
        <xdr:cNvPr id="40" name="Chart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438150</xdr:colOff>
      <xdr:row>191</xdr:row>
      <xdr:rowOff>152400</xdr:rowOff>
    </xdr:from>
    <xdr:to>
      <xdr:col>41</xdr:col>
      <xdr:colOff>552451</xdr:colOff>
      <xdr:row>213</xdr:row>
      <xdr:rowOff>85725</xdr:rowOff>
    </xdr:to>
    <xdr:graphicFrame macro="">
      <xdr:nvGraphicFramePr>
        <xdr:cNvPr id="46" name="Chart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43</xdr:col>
      <xdr:colOff>219075</xdr:colOff>
      <xdr:row>57</xdr:row>
      <xdr:rowOff>123825</xdr:rowOff>
    </xdr:from>
    <xdr:to>
      <xdr:col>55</xdr:col>
      <xdr:colOff>47626</xdr:colOff>
      <xdr:row>77</xdr:row>
      <xdr:rowOff>38101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43</xdr:col>
      <xdr:colOff>228600</xdr:colOff>
      <xdr:row>80</xdr:row>
      <xdr:rowOff>123825</xdr:rowOff>
    </xdr:from>
    <xdr:to>
      <xdr:col>55</xdr:col>
      <xdr:colOff>57151</xdr:colOff>
      <xdr:row>100</xdr:row>
      <xdr:rowOff>38101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43</xdr:col>
      <xdr:colOff>209550</xdr:colOff>
      <xdr:row>107</xdr:row>
      <xdr:rowOff>38100</xdr:rowOff>
    </xdr:from>
    <xdr:to>
      <xdr:col>55</xdr:col>
      <xdr:colOff>38101</xdr:colOff>
      <xdr:row>126</xdr:row>
      <xdr:rowOff>142876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43</xdr:col>
      <xdr:colOff>209550</xdr:colOff>
      <xdr:row>135</xdr:row>
      <xdr:rowOff>47625</xdr:rowOff>
    </xdr:from>
    <xdr:to>
      <xdr:col>55</xdr:col>
      <xdr:colOff>38101</xdr:colOff>
      <xdr:row>154</xdr:row>
      <xdr:rowOff>152401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43</xdr:col>
      <xdr:colOff>180975</xdr:colOff>
      <xdr:row>163</xdr:row>
      <xdr:rowOff>133350</xdr:rowOff>
    </xdr:from>
    <xdr:to>
      <xdr:col>55</xdr:col>
      <xdr:colOff>9526</xdr:colOff>
      <xdr:row>183</xdr:row>
      <xdr:rowOff>47626</xdr:rowOff>
    </xdr:to>
    <xdr:graphicFrame macro="">
      <xdr:nvGraphicFramePr>
        <xdr:cNvPr id="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43</xdr:col>
      <xdr:colOff>266700</xdr:colOff>
      <xdr:row>191</xdr:row>
      <xdr:rowOff>152400</xdr:rowOff>
    </xdr:from>
    <xdr:to>
      <xdr:col>55</xdr:col>
      <xdr:colOff>95251</xdr:colOff>
      <xdr:row>212</xdr:row>
      <xdr:rowOff>9526</xdr:rowOff>
    </xdr:to>
    <xdr:graphicFrame macro="">
      <xdr:nvGraphicFramePr>
        <xdr:cNvPr id="52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111125</xdr:colOff>
      <xdr:row>56</xdr:row>
      <xdr:rowOff>95250</xdr:rowOff>
    </xdr:from>
    <xdr:to>
      <xdr:col>28</xdr:col>
      <xdr:colOff>215900</xdr:colOff>
      <xdr:row>75</xdr:row>
      <xdr:rowOff>120650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438150</xdr:colOff>
      <xdr:row>80</xdr:row>
      <xdr:rowOff>38100</xdr:rowOff>
    </xdr:from>
    <xdr:to>
      <xdr:col>28</xdr:col>
      <xdr:colOff>542925</xdr:colOff>
      <xdr:row>99</xdr:row>
      <xdr:rowOff>38100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171450</xdr:colOff>
      <xdr:row>108</xdr:row>
      <xdr:rowOff>133350</xdr:rowOff>
    </xdr:from>
    <xdr:to>
      <xdr:col>28</xdr:col>
      <xdr:colOff>276225</xdr:colOff>
      <xdr:row>127</xdr:row>
      <xdr:rowOff>133350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238125</xdr:colOff>
      <xdr:row>136</xdr:row>
      <xdr:rowOff>114300</xdr:rowOff>
    </xdr:from>
    <xdr:to>
      <xdr:col>28</xdr:col>
      <xdr:colOff>342900</xdr:colOff>
      <xdr:row>155</xdr:row>
      <xdr:rowOff>114300</xdr:rowOff>
    </xdr:to>
    <xdr:graphicFrame macro="">
      <xdr:nvGraphicFramePr>
        <xdr:cNvPr id="3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180975</xdr:colOff>
      <xdr:row>164</xdr:row>
      <xdr:rowOff>114300</xdr:rowOff>
    </xdr:from>
    <xdr:to>
      <xdr:col>28</xdr:col>
      <xdr:colOff>285750</xdr:colOff>
      <xdr:row>183</xdr:row>
      <xdr:rowOff>114300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14</xdr:col>
      <xdr:colOff>523875</xdr:colOff>
      <xdr:row>193</xdr:row>
      <xdr:rowOff>47625</xdr:rowOff>
    </xdr:from>
    <xdr:to>
      <xdr:col>28</xdr:col>
      <xdr:colOff>19050</xdr:colOff>
      <xdr:row>212</xdr:row>
      <xdr:rowOff>180975</xdr:rowOff>
    </xdr:to>
    <xdr:graphicFrame macro="">
      <xdr:nvGraphicFramePr>
        <xdr:cNvPr id="42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oneCellAnchor>
    <xdr:from>
      <xdr:col>93</xdr:col>
      <xdr:colOff>200342</xdr:colOff>
      <xdr:row>223</xdr:row>
      <xdr:rowOff>132143</xdr:rowOff>
    </xdr:from>
    <xdr:ext cx="1085215" cy="0"/>
    <xdr:sp macro="" textlink="">
      <xdr:nvSpPr>
        <xdr:cNvPr id="8" name="TextBox 7"/>
        <xdr:cNvSpPr txBox="1"/>
      </xdr:nvSpPr>
      <xdr:spPr>
        <a:xfrm>
          <a:off x="67532567" y="36260468"/>
          <a:ext cx="108521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r>
            <a:rPr lang="en-US" sz="1100" i="0">
              <a:latin typeface="Cambria Math"/>
            </a:rPr>
            <a:t>(𝑥+𝑎)^𝑛=∑24_(𝑘=0)^𝑛▒〖(𝑛¦𝑘) 𝑥^𝑘 𝑎^(𝑛−𝑘) 〗</a:t>
          </a:r>
          <a:endParaRPr lang="en-US" sz="1100"/>
        </a:p>
      </xdr:txBody>
    </xdr:sp>
    <xdr:clientData/>
  </xdr:oneCellAnchor>
  <xdr:oneCellAnchor>
    <xdr:from>
      <xdr:col>96</xdr:col>
      <xdr:colOff>19368</xdr:colOff>
      <xdr:row>220</xdr:row>
      <xdr:rowOff>28575</xdr:rowOff>
    </xdr:from>
    <xdr:ext cx="1190307" cy="593368"/>
    <xdr:sp macro="" textlink="">
      <xdr:nvSpPr>
        <xdr:cNvPr id="9" name="TextBox 8"/>
        <xdr:cNvSpPr txBox="1"/>
      </xdr:nvSpPr>
      <xdr:spPr>
        <a:xfrm>
          <a:off x="69180393" y="35718750"/>
          <a:ext cx="1190307" cy="5933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i="0">
              <a:latin typeface="Cambria Math"/>
            </a:rPr>
            <a:t>∑24_(</a:t>
          </a:r>
          <a:r>
            <a:rPr lang="en-US" sz="1100" b="0" i="0">
              <a:latin typeface="Cambria Math"/>
            </a:rPr>
            <a:t>𝑗=1)^(𝑖−1)▒〖𝑟𝑗−∑24_(𝑗=𝑖+1)^𝑛▒𝑟𝑗〗</a:t>
          </a:r>
          <a:endParaRPr lang="en-US" sz="1100"/>
        </a:p>
      </xdr:txBody>
    </xdr:sp>
    <xdr:clientData/>
  </xdr:one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0.39403</cdr:x>
      <cdr:y>0.64893</cdr:y>
    </cdr:from>
    <cdr:to>
      <cdr:x>0.57747</cdr:x>
      <cdr:y>0.7325</cdr:y>
    </cdr:to>
    <cdr:sp macro="" textlink="">
      <cdr:nvSpPr>
        <cdr:cNvPr id="53" name="TextBox 52"/>
        <cdr:cNvSpPr txBox="1"/>
      </cdr:nvSpPr>
      <cdr:spPr>
        <a:xfrm xmlns:a="http://schemas.openxmlformats.org/drawingml/2006/main">
          <a:off x="2398254" y="2472423"/>
          <a:ext cx="1116503" cy="318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Zone</a:t>
          </a:r>
          <a:r>
            <a:rPr lang="en-US" sz="1100" b="1" baseline="0"/>
            <a:t> V , Rocky</a:t>
          </a:r>
          <a:endParaRPr lang="en-US" sz="1100" b="1"/>
        </a:p>
      </cdr:txBody>
    </cdr:sp>
  </cdr:relSizeAnchor>
  <cdr:relSizeAnchor xmlns:cdr="http://schemas.openxmlformats.org/drawingml/2006/chartDrawing">
    <cdr:from>
      <cdr:x>0.49645</cdr:x>
      <cdr:y>0.66752</cdr:y>
    </cdr:from>
    <cdr:to>
      <cdr:x>0.74291</cdr:x>
      <cdr:y>0.77238</cdr:y>
    </cdr:to>
    <cdr:sp macro="" textlink="">
      <cdr:nvSpPr>
        <cdr:cNvPr id="54" name="TextBox 53"/>
        <cdr:cNvSpPr txBox="1"/>
      </cdr:nvSpPr>
      <cdr:spPr>
        <a:xfrm xmlns:a="http://schemas.openxmlformats.org/drawingml/2006/main">
          <a:off x="2667001" y="2486023"/>
          <a:ext cx="1323975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0.35266</cdr:x>
      <cdr:y>0.25877</cdr:y>
    </cdr:from>
    <cdr:to>
      <cdr:x>0.52288</cdr:x>
      <cdr:y>0.38921</cdr:y>
    </cdr:to>
    <cdr:sp macro="" textlink="">
      <cdr:nvSpPr>
        <cdr:cNvPr id="55" name="TextBox 54"/>
        <cdr:cNvSpPr txBox="1"/>
      </cdr:nvSpPr>
      <cdr:spPr>
        <a:xfrm xmlns:a="http://schemas.openxmlformats.org/drawingml/2006/main" rot="20980170">
          <a:off x="2405098" y="1067268"/>
          <a:ext cx="1160883" cy="537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Zone</a:t>
          </a:r>
          <a:r>
            <a:rPr lang="en-US" sz="1100" baseline="0"/>
            <a:t> II,well graded</a:t>
          </a:r>
        </a:p>
        <a:p xmlns:a="http://schemas.openxmlformats.org/drawingml/2006/main">
          <a:r>
            <a:rPr lang="en-US" sz="1100" baseline="0"/>
            <a:t>1.5" to 3/4"</a:t>
          </a:r>
          <a:endParaRPr lang="en-US" sz="1100"/>
        </a:p>
      </cdr:txBody>
    </cdr:sp>
  </cdr:relSizeAnchor>
  <cdr:relSizeAnchor xmlns:cdr="http://schemas.openxmlformats.org/drawingml/2006/chartDrawing">
    <cdr:from>
      <cdr:x>0.09971</cdr:x>
      <cdr:y>0.33053</cdr:y>
    </cdr:from>
    <cdr:to>
      <cdr:x>0.18298</cdr:x>
      <cdr:y>0.62891</cdr:y>
    </cdr:to>
    <cdr:sp macro="" textlink="">
      <cdr:nvSpPr>
        <cdr:cNvPr id="56" name="TextBox 55"/>
        <cdr:cNvSpPr txBox="1"/>
      </cdr:nvSpPr>
      <cdr:spPr>
        <a:xfrm xmlns:a="http://schemas.openxmlformats.org/drawingml/2006/main" rot="16200000">
          <a:off x="348642" y="1694557"/>
          <a:ext cx="1230615" cy="567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Zone </a:t>
          </a:r>
          <a:r>
            <a:rPr lang="en-US" sz="1100" b="1" baseline="0"/>
            <a:t> I , </a:t>
          </a:r>
        </a:p>
        <a:p xmlns:a="http://schemas.openxmlformats.org/drawingml/2006/main">
          <a:r>
            <a:rPr lang="en-US" sz="1100" b="1" baseline="0"/>
            <a:t>Gab Graded</a:t>
          </a:r>
          <a:endParaRPr lang="en-US" sz="1100" b="1"/>
        </a:p>
      </cdr:txBody>
    </cdr:sp>
  </cdr:relSizeAnchor>
  <cdr:relSizeAnchor xmlns:cdr="http://schemas.openxmlformats.org/drawingml/2006/chartDrawing">
    <cdr:from>
      <cdr:x>0.672</cdr:x>
      <cdr:y>0.24978</cdr:y>
    </cdr:from>
    <cdr:to>
      <cdr:x>0.85108</cdr:x>
      <cdr:y>0.43392</cdr:y>
    </cdr:to>
    <cdr:sp macro="" textlink="">
      <cdr:nvSpPr>
        <cdr:cNvPr id="57" name="TextBox 56"/>
        <cdr:cNvSpPr txBox="1"/>
      </cdr:nvSpPr>
      <cdr:spPr>
        <a:xfrm xmlns:a="http://schemas.openxmlformats.org/drawingml/2006/main">
          <a:off x="4090101" y="951662"/>
          <a:ext cx="1089966" cy="7015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Zone III,</a:t>
          </a:r>
        </a:p>
        <a:p xmlns:a="http://schemas.openxmlformats.org/drawingml/2006/main">
          <a:r>
            <a:rPr lang="en-US" sz="1100" b="1"/>
            <a:t>Well</a:t>
          </a:r>
          <a:r>
            <a:rPr lang="en-US" sz="1100" b="1" baseline="0"/>
            <a:t> graded,</a:t>
          </a:r>
        </a:p>
        <a:p xmlns:a="http://schemas.openxmlformats.org/drawingml/2006/main">
          <a:r>
            <a:rPr lang="en-US" sz="1100" b="1" baseline="0"/>
            <a:t>3/4" and finer</a:t>
          </a:r>
          <a:endParaRPr lang="en-US" sz="1100" b="1"/>
        </a:p>
      </cdr:txBody>
    </cdr:sp>
  </cdr:relSizeAnchor>
  <cdr:relSizeAnchor xmlns:cdr="http://schemas.openxmlformats.org/drawingml/2006/chartDrawing">
    <cdr:from>
      <cdr:x>0.18949</cdr:x>
      <cdr:y>0.16443</cdr:y>
    </cdr:from>
    <cdr:to>
      <cdr:x>0.35994</cdr:x>
      <cdr:y>0.2625</cdr:y>
    </cdr:to>
    <cdr:sp macro="" textlink="">
      <cdr:nvSpPr>
        <cdr:cNvPr id="58" name="TextBox 57"/>
        <cdr:cNvSpPr txBox="1"/>
      </cdr:nvSpPr>
      <cdr:spPr>
        <a:xfrm xmlns:a="http://schemas.openxmlformats.org/drawingml/2006/main">
          <a:off x="1153307" y="626478"/>
          <a:ext cx="1037444" cy="3736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Zone IV, sticky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0.61407</cdr:x>
      <cdr:y>0.68805</cdr:y>
    </cdr:from>
    <cdr:to>
      <cdr:x>0.79137</cdr:x>
      <cdr:y>0.81337</cdr:y>
    </cdr:to>
    <cdr:sp macro="" textlink="">
      <cdr:nvSpPr>
        <cdr:cNvPr id="64" name="TextBox 63"/>
        <cdr:cNvSpPr txBox="1"/>
      </cdr:nvSpPr>
      <cdr:spPr>
        <a:xfrm xmlns:a="http://schemas.openxmlformats.org/drawingml/2006/main">
          <a:off x="4187925" y="2837723"/>
          <a:ext cx="1209169" cy="516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u="sng"/>
            <a:t>Workability</a:t>
          </a:r>
        </a:p>
        <a:p xmlns:a="http://schemas.openxmlformats.org/drawingml/2006/main">
          <a:r>
            <a:rPr lang="en-US" sz="1100" u="sng"/>
            <a:t>Box</a:t>
          </a:r>
        </a:p>
      </cdr:txBody>
    </cdr:sp>
  </cdr:relSizeAnchor>
  <cdr:relSizeAnchor xmlns:cdr="http://schemas.openxmlformats.org/drawingml/2006/chartDrawing">
    <cdr:from>
      <cdr:x>0.51169</cdr:x>
      <cdr:y>0.48152</cdr:y>
    </cdr:from>
    <cdr:to>
      <cdr:x>0.64315</cdr:x>
      <cdr:y>0.70652</cdr:y>
    </cdr:to>
    <cdr:sp macro="" textlink="">
      <cdr:nvSpPr>
        <cdr:cNvPr id="19" name="Curved Connector 18"/>
        <cdr:cNvSpPr/>
      </cdr:nvSpPr>
      <cdr:spPr>
        <a:xfrm xmlns:a="http://schemas.openxmlformats.org/drawingml/2006/main" rot="16200000" flipV="1">
          <a:off x="3473932" y="2001677"/>
          <a:ext cx="927972" cy="896544"/>
        </a:xfrm>
        <a:prstGeom xmlns:a="http://schemas.openxmlformats.org/drawingml/2006/main" prst="curvedConnector3">
          <a:avLst>
            <a:gd name="adj1" fmla="val 50000"/>
          </a:avLst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0.39403</cdr:x>
      <cdr:y>0.64893</cdr:y>
    </cdr:from>
    <cdr:to>
      <cdr:x>0.57747</cdr:x>
      <cdr:y>0.7325</cdr:y>
    </cdr:to>
    <cdr:sp macro="" textlink="">
      <cdr:nvSpPr>
        <cdr:cNvPr id="53" name="TextBox 52"/>
        <cdr:cNvSpPr txBox="1"/>
      </cdr:nvSpPr>
      <cdr:spPr>
        <a:xfrm xmlns:a="http://schemas.openxmlformats.org/drawingml/2006/main">
          <a:off x="2398254" y="2472423"/>
          <a:ext cx="1116503" cy="318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Zone</a:t>
          </a:r>
          <a:r>
            <a:rPr lang="en-US" sz="1100" b="1" baseline="0"/>
            <a:t> V , Rocky</a:t>
          </a:r>
          <a:endParaRPr lang="en-US" sz="1100" b="1"/>
        </a:p>
      </cdr:txBody>
    </cdr:sp>
  </cdr:relSizeAnchor>
  <cdr:relSizeAnchor xmlns:cdr="http://schemas.openxmlformats.org/drawingml/2006/chartDrawing">
    <cdr:from>
      <cdr:x>0.49645</cdr:x>
      <cdr:y>0.66752</cdr:y>
    </cdr:from>
    <cdr:to>
      <cdr:x>0.74291</cdr:x>
      <cdr:y>0.77238</cdr:y>
    </cdr:to>
    <cdr:sp macro="" textlink="">
      <cdr:nvSpPr>
        <cdr:cNvPr id="54" name="TextBox 53"/>
        <cdr:cNvSpPr txBox="1"/>
      </cdr:nvSpPr>
      <cdr:spPr>
        <a:xfrm xmlns:a="http://schemas.openxmlformats.org/drawingml/2006/main">
          <a:off x="2667001" y="2486023"/>
          <a:ext cx="1323975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0.35266</cdr:x>
      <cdr:y>0.25877</cdr:y>
    </cdr:from>
    <cdr:to>
      <cdr:x>0.52288</cdr:x>
      <cdr:y>0.38921</cdr:y>
    </cdr:to>
    <cdr:sp macro="" textlink="">
      <cdr:nvSpPr>
        <cdr:cNvPr id="55" name="TextBox 54"/>
        <cdr:cNvSpPr txBox="1"/>
      </cdr:nvSpPr>
      <cdr:spPr>
        <a:xfrm xmlns:a="http://schemas.openxmlformats.org/drawingml/2006/main" rot="20980170">
          <a:off x="2405098" y="1067268"/>
          <a:ext cx="1160883" cy="537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Zone</a:t>
          </a:r>
          <a:r>
            <a:rPr lang="en-US" sz="1100" baseline="0"/>
            <a:t> II,well graded</a:t>
          </a:r>
        </a:p>
        <a:p xmlns:a="http://schemas.openxmlformats.org/drawingml/2006/main">
          <a:r>
            <a:rPr lang="en-US" sz="1100" baseline="0"/>
            <a:t>1.5" to 3/4"</a:t>
          </a:r>
          <a:endParaRPr lang="en-US" sz="1100"/>
        </a:p>
      </cdr:txBody>
    </cdr:sp>
  </cdr:relSizeAnchor>
  <cdr:relSizeAnchor xmlns:cdr="http://schemas.openxmlformats.org/drawingml/2006/chartDrawing">
    <cdr:from>
      <cdr:x>0.09971</cdr:x>
      <cdr:y>0.33053</cdr:y>
    </cdr:from>
    <cdr:to>
      <cdr:x>0.18298</cdr:x>
      <cdr:y>0.62891</cdr:y>
    </cdr:to>
    <cdr:sp macro="" textlink="">
      <cdr:nvSpPr>
        <cdr:cNvPr id="56" name="TextBox 55"/>
        <cdr:cNvSpPr txBox="1"/>
      </cdr:nvSpPr>
      <cdr:spPr>
        <a:xfrm xmlns:a="http://schemas.openxmlformats.org/drawingml/2006/main" rot="16200000">
          <a:off x="348642" y="1694557"/>
          <a:ext cx="1230615" cy="567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Zone </a:t>
          </a:r>
          <a:r>
            <a:rPr lang="en-US" sz="1100" b="1" baseline="0"/>
            <a:t> I , </a:t>
          </a:r>
        </a:p>
        <a:p xmlns:a="http://schemas.openxmlformats.org/drawingml/2006/main">
          <a:r>
            <a:rPr lang="en-US" sz="1100" b="1" baseline="0"/>
            <a:t>Gab Graded</a:t>
          </a:r>
          <a:endParaRPr lang="en-US" sz="1100" b="1"/>
        </a:p>
      </cdr:txBody>
    </cdr:sp>
  </cdr:relSizeAnchor>
  <cdr:relSizeAnchor xmlns:cdr="http://schemas.openxmlformats.org/drawingml/2006/chartDrawing">
    <cdr:from>
      <cdr:x>0.672</cdr:x>
      <cdr:y>0.24978</cdr:y>
    </cdr:from>
    <cdr:to>
      <cdr:x>0.85108</cdr:x>
      <cdr:y>0.43392</cdr:y>
    </cdr:to>
    <cdr:sp macro="" textlink="">
      <cdr:nvSpPr>
        <cdr:cNvPr id="57" name="TextBox 56"/>
        <cdr:cNvSpPr txBox="1"/>
      </cdr:nvSpPr>
      <cdr:spPr>
        <a:xfrm xmlns:a="http://schemas.openxmlformats.org/drawingml/2006/main">
          <a:off x="4090101" y="951662"/>
          <a:ext cx="1089966" cy="7015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Zone III,</a:t>
          </a:r>
        </a:p>
        <a:p xmlns:a="http://schemas.openxmlformats.org/drawingml/2006/main">
          <a:r>
            <a:rPr lang="en-US" sz="1100" b="1"/>
            <a:t>Well</a:t>
          </a:r>
          <a:r>
            <a:rPr lang="en-US" sz="1100" b="1" baseline="0"/>
            <a:t> graded,</a:t>
          </a:r>
        </a:p>
        <a:p xmlns:a="http://schemas.openxmlformats.org/drawingml/2006/main">
          <a:r>
            <a:rPr lang="en-US" sz="1100" b="1" baseline="0"/>
            <a:t>3/4" and finer</a:t>
          </a:r>
          <a:endParaRPr lang="en-US" sz="1100" b="1"/>
        </a:p>
      </cdr:txBody>
    </cdr:sp>
  </cdr:relSizeAnchor>
  <cdr:relSizeAnchor xmlns:cdr="http://schemas.openxmlformats.org/drawingml/2006/chartDrawing">
    <cdr:from>
      <cdr:x>0.18949</cdr:x>
      <cdr:y>0.16443</cdr:y>
    </cdr:from>
    <cdr:to>
      <cdr:x>0.35994</cdr:x>
      <cdr:y>0.2625</cdr:y>
    </cdr:to>
    <cdr:sp macro="" textlink="">
      <cdr:nvSpPr>
        <cdr:cNvPr id="58" name="TextBox 57"/>
        <cdr:cNvSpPr txBox="1"/>
      </cdr:nvSpPr>
      <cdr:spPr>
        <a:xfrm xmlns:a="http://schemas.openxmlformats.org/drawingml/2006/main">
          <a:off x="1153307" y="626478"/>
          <a:ext cx="1037444" cy="3736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Zone IV, sticky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0.61407</cdr:x>
      <cdr:y>0.68805</cdr:y>
    </cdr:from>
    <cdr:to>
      <cdr:x>0.79137</cdr:x>
      <cdr:y>0.81337</cdr:y>
    </cdr:to>
    <cdr:sp macro="" textlink="">
      <cdr:nvSpPr>
        <cdr:cNvPr id="64" name="TextBox 63"/>
        <cdr:cNvSpPr txBox="1"/>
      </cdr:nvSpPr>
      <cdr:spPr>
        <a:xfrm xmlns:a="http://schemas.openxmlformats.org/drawingml/2006/main">
          <a:off x="4187925" y="2837723"/>
          <a:ext cx="1209169" cy="516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u="sng"/>
            <a:t>Workability</a:t>
          </a:r>
        </a:p>
        <a:p xmlns:a="http://schemas.openxmlformats.org/drawingml/2006/main">
          <a:r>
            <a:rPr lang="en-US" sz="1100" u="sng"/>
            <a:t>Box</a:t>
          </a:r>
        </a:p>
      </cdr:txBody>
    </cdr:sp>
  </cdr:relSizeAnchor>
  <cdr:relSizeAnchor xmlns:cdr="http://schemas.openxmlformats.org/drawingml/2006/chartDrawing">
    <cdr:from>
      <cdr:x>0.51169</cdr:x>
      <cdr:y>0.48152</cdr:y>
    </cdr:from>
    <cdr:to>
      <cdr:x>0.64315</cdr:x>
      <cdr:y>0.70652</cdr:y>
    </cdr:to>
    <cdr:sp macro="" textlink="">
      <cdr:nvSpPr>
        <cdr:cNvPr id="19" name="Curved Connector 18"/>
        <cdr:cNvSpPr/>
      </cdr:nvSpPr>
      <cdr:spPr>
        <a:xfrm xmlns:a="http://schemas.openxmlformats.org/drawingml/2006/main" rot="16200000" flipV="1">
          <a:off x="3473932" y="2001677"/>
          <a:ext cx="927972" cy="896544"/>
        </a:xfrm>
        <a:prstGeom xmlns:a="http://schemas.openxmlformats.org/drawingml/2006/main" prst="curvedConnector3">
          <a:avLst>
            <a:gd name="adj1" fmla="val 50000"/>
          </a:avLst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0.39403</cdr:x>
      <cdr:y>0.64893</cdr:y>
    </cdr:from>
    <cdr:to>
      <cdr:x>0.57747</cdr:x>
      <cdr:y>0.7325</cdr:y>
    </cdr:to>
    <cdr:sp macro="" textlink="">
      <cdr:nvSpPr>
        <cdr:cNvPr id="53" name="TextBox 52"/>
        <cdr:cNvSpPr txBox="1"/>
      </cdr:nvSpPr>
      <cdr:spPr>
        <a:xfrm xmlns:a="http://schemas.openxmlformats.org/drawingml/2006/main">
          <a:off x="2398254" y="2472423"/>
          <a:ext cx="1116503" cy="318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Zone</a:t>
          </a:r>
          <a:r>
            <a:rPr lang="en-US" sz="1100" b="1" baseline="0"/>
            <a:t> V , Rocky</a:t>
          </a:r>
          <a:endParaRPr lang="en-US" sz="1100" b="1"/>
        </a:p>
      </cdr:txBody>
    </cdr:sp>
  </cdr:relSizeAnchor>
  <cdr:relSizeAnchor xmlns:cdr="http://schemas.openxmlformats.org/drawingml/2006/chartDrawing">
    <cdr:from>
      <cdr:x>0.49645</cdr:x>
      <cdr:y>0.66752</cdr:y>
    </cdr:from>
    <cdr:to>
      <cdr:x>0.74291</cdr:x>
      <cdr:y>0.77238</cdr:y>
    </cdr:to>
    <cdr:sp macro="" textlink="">
      <cdr:nvSpPr>
        <cdr:cNvPr id="54" name="TextBox 53"/>
        <cdr:cNvSpPr txBox="1"/>
      </cdr:nvSpPr>
      <cdr:spPr>
        <a:xfrm xmlns:a="http://schemas.openxmlformats.org/drawingml/2006/main">
          <a:off x="2667001" y="2486023"/>
          <a:ext cx="1323975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0.35266</cdr:x>
      <cdr:y>0.25877</cdr:y>
    </cdr:from>
    <cdr:to>
      <cdr:x>0.52288</cdr:x>
      <cdr:y>0.38921</cdr:y>
    </cdr:to>
    <cdr:sp macro="" textlink="">
      <cdr:nvSpPr>
        <cdr:cNvPr id="55" name="TextBox 54"/>
        <cdr:cNvSpPr txBox="1"/>
      </cdr:nvSpPr>
      <cdr:spPr>
        <a:xfrm xmlns:a="http://schemas.openxmlformats.org/drawingml/2006/main" rot="20980170">
          <a:off x="2405098" y="1067268"/>
          <a:ext cx="1160883" cy="537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Zone</a:t>
          </a:r>
          <a:r>
            <a:rPr lang="en-US" sz="1100" baseline="0"/>
            <a:t> II,well graded</a:t>
          </a:r>
        </a:p>
        <a:p xmlns:a="http://schemas.openxmlformats.org/drawingml/2006/main">
          <a:r>
            <a:rPr lang="en-US" sz="1100" baseline="0"/>
            <a:t>1.5" to 3/4"</a:t>
          </a:r>
          <a:endParaRPr lang="en-US" sz="1100"/>
        </a:p>
      </cdr:txBody>
    </cdr:sp>
  </cdr:relSizeAnchor>
  <cdr:relSizeAnchor xmlns:cdr="http://schemas.openxmlformats.org/drawingml/2006/chartDrawing">
    <cdr:from>
      <cdr:x>0.09971</cdr:x>
      <cdr:y>0.33053</cdr:y>
    </cdr:from>
    <cdr:to>
      <cdr:x>0.18298</cdr:x>
      <cdr:y>0.62891</cdr:y>
    </cdr:to>
    <cdr:sp macro="" textlink="">
      <cdr:nvSpPr>
        <cdr:cNvPr id="56" name="TextBox 55"/>
        <cdr:cNvSpPr txBox="1"/>
      </cdr:nvSpPr>
      <cdr:spPr>
        <a:xfrm xmlns:a="http://schemas.openxmlformats.org/drawingml/2006/main" rot="16200000">
          <a:off x="348642" y="1694557"/>
          <a:ext cx="1230615" cy="567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Zone </a:t>
          </a:r>
          <a:r>
            <a:rPr lang="en-US" sz="1100" b="1" baseline="0"/>
            <a:t> I , </a:t>
          </a:r>
        </a:p>
        <a:p xmlns:a="http://schemas.openxmlformats.org/drawingml/2006/main">
          <a:r>
            <a:rPr lang="en-US" sz="1100" b="1" baseline="0"/>
            <a:t>Gab Graded</a:t>
          </a:r>
          <a:endParaRPr lang="en-US" sz="1100" b="1"/>
        </a:p>
      </cdr:txBody>
    </cdr:sp>
  </cdr:relSizeAnchor>
  <cdr:relSizeAnchor xmlns:cdr="http://schemas.openxmlformats.org/drawingml/2006/chartDrawing">
    <cdr:from>
      <cdr:x>0.672</cdr:x>
      <cdr:y>0.24978</cdr:y>
    </cdr:from>
    <cdr:to>
      <cdr:x>0.85108</cdr:x>
      <cdr:y>0.43392</cdr:y>
    </cdr:to>
    <cdr:sp macro="" textlink="">
      <cdr:nvSpPr>
        <cdr:cNvPr id="57" name="TextBox 56"/>
        <cdr:cNvSpPr txBox="1"/>
      </cdr:nvSpPr>
      <cdr:spPr>
        <a:xfrm xmlns:a="http://schemas.openxmlformats.org/drawingml/2006/main">
          <a:off x="4090101" y="951662"/>
          <a:ext cx="1089966" cy="7015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Zone III,</a:t>
          </a:r>
        </a:p>
        <a:p xmlns:a="http://schemas.openxmlformats.org/drawingml/2006/main">
          <a:r>
            <a:rPr lang="en-US" sz="1100" b="1"/>
            <a:t>Well</a:t>
          </a:r>
          <a:r>
            <a:rPr lang="en-US" sz="1100" b="1" baseline="0"/>
            <a:t> graded,</a:t>
          </a:r>
        </a:p>
        <a:p xmlns:a="http://schemas.openxmlformats.org/drawingml/2006/main">
          <a:r>
            <a:rPr lang="en-US" sz="1100" b="1" baseline="0"/>
            <a:t>3/4" and finer</a:t>
          </a:r>
          <a:endParaRPr lang="en-US" sz="1100" b="1"/>
        </a:p>
      </cdr:txBody>
    </cdr:sp>
  </cdr:relSizeAnchor>
  <cdr:relSizeAnchor xmlns:cdr="http://schemas.openxmlformats.org/drawingml/2006/chartDrawing">
    <cdr:from>
      <cdr:x>0.18949</cdr:x>
      <cdr:y>0.16443</cdr:y>
    </cdr:from>
    <cdr:to>
      <cdr:x>0.35994</cdr:x>
      <cdr:y>0.2625</cdr:y>
    </cdr:to>
    <cdr:sp macro="" textlink="">
      <cdr:nvSpPr>
        <cdr:cNvPr id="58" name="TextBox 57"/>
        <cdr:cNvSpPr txBox="1"/>
      </cdr:nvSpPr>
      <cdr:spPr>
        <a:xfrm xmlns:a="http://schemas.openxmlformats.org/drawingml/2006/main">
          <a:off x="1153307" y="626478"/>
          <a:ext cx="1037444" cy="3736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Zone IV, sticky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0.61407</cdr:x>
      <cdr:y>0.68805</cdr:y>
    </cdr:from>
    <cdr:to>
      <cdr:x>0.79137</cdr:x>
      <cdr:y>0.81337</cdr:y>
    </cdr:to>
    <cdr:sp macro="" textlink="">
      <cdr:nvSpPr>
        <cdr:cNvPr id="64" name="TextBox 63"/>
        <cdr:cNvSpPr txBox="1"/>
      </cdr:nvSpPr>
      <cdr:spPr>
        <a:xfrm xmlns:a="http://schemas.openxmlformats.org/drawingml/2006/main">
          <a:off x="4187925" y="2837723"/>
          <a:ext cx="1209169" cy="516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u="sng"/>
            <a:t>Workability</a:t>
          </a:r>
        </a:p>
        <a:p xmlns:a="http://schemas.openxmlformats.org/drawingml/2006/main">
          <a:r>
            <a:rPr lang="en-US" sz="1100" u="sng"/>
            <a:t>Box</a:t>
          </a:r>
        </a:p>
      </cdr:txBody>
    </cdr:sp>
  </cdr:relSizeAnchor>
  <cdr:relSizeAnchor xmlns:cdr="http://schemas.openxmlformats.org/drawingml/2006/chartDrawing">
    <cdr:from>
      <cdr:x>0.51169</cdr:x>
      <cdr:y>0.48152</cdr:y>
    </cdr:from>
    <cdr:to>
      <cdr:x>0.64315</cdr:x>
      <cdr:y>0.70652</cdr:y>
    </cdr:to>
    <cdr:sp macro="" textlink="">
      <cdr:nvSpPr>
        <cdr:cNvPr id="19" name="Curved Connector 18"/>
        <cdr:cNvSpPr/>
      </cdr:nvSpPr>
      <cdr:spPr>
        <a:xfrm xmlns:a="http://schemas.openxmlformats.org/drawingml/2006/main" rot="16200000" flipV="1">
          <a:off x="3473932" y="2001677"/>
          <a:ext cx="927972" cy="896544"/>
        </a:xfrm>
        <a:prstGeom xmlns:a="http://schemas.openxmlformats.org/drawingml/2006/main" prst="curvedConnector3">
          <a:avLst>
            <a:gd name="adj1" fmla="val 50000"/>
          </a:avLst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0.39403</cdr:x>
      <cdr:y>0.64893</cdr:y>
    </cdr:from>
    <cdr:to>
      <cdr:x>0.57747</cdr:x>
      <cdr:y>0.7325</cdr:y>
    </cdr:to>
    <cdr:sp macro="" textlink="">
      <cdr:nvSpPr>
        <cdr:cNvPr id="53" name="TextBox 52"/>
        <cdr:cNvSpPr txBox="1"/>
      </cdr:nvSpPr>
      <cdr:spPr>
        <a:xfrm xmlns:a="http://schemas.openxmlformats.org/drawingml/2006/main">
          <a:off x="2398254" y="2472423"/>
          <a:ext cx="1116503" cy="318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Zone</a:t>
          </a:r>
          <a:r>
            <a:rPr lang="en-US" sz="1100" b="1" baseline="0"/>
            <a:t> V , Rocky</a:t>
          </a:r>
          <a:endParaRPr lang="en-US" sz="1100" b="1"/>
        </a:p>
      </cdr:txBody>
    </cdr:sp>
  </cdr:relSizeAnchor>
  <cdr:relSizeAnchor xmlns:cdr="http://schemas.openxmlformats.org/drawingml/2006/chartDrawing">
    <cdr:from>
      <cdr:x>0.49645</cdr:x>
      <cdr:y>0.66752</cdr:y>
    </cdr:from>
    <cdr:to>
      <cdr:x>0.74291</cdr:x>
      <cdr:y>0.77238</cdr:y>
    </cdr:to>
    <cdr:sp macro="" textlink="">
      <cdr:nvSpPr>
        <cdr:cNvPr id="54" name="TextBox 53"/>
        <cdr:cNvSpPr txBox="1"/>
      </cdr:nvSpPr>
      <cdr:spPr>
        <a:xfrm xmlns:a="http://schemas.openxmlformats.org/drawingml/2006/main">
          <a:off x="2667001" y="2486023"/>
          <a:ext cx="1323975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0.35266</cdr:x>
      <cdr:y>0.25877</cdr:y>
    </cdr:from>
    <cdr:to>
      <cdr:x>0.52288</cdr:x>
      <cdr:y>0.38921</cdr:y>
    </cdr:to>
    <cdr:sp macro="" textlink="">
      <cdr:nvSpPr>
        <cdr:cNvPr id="55" name="TextBox 54"/>
        <cdr:cNvSpPr txBox="1"/>
      </cdr:nvSpPr>
      <cdr:spPr>
        <a:xfrm xmlns:a="http://schemas.openxmlformats.org/drawingml/2006/main" rot="20980170">
          <a:off x="2405098" y="1067268"/>
          <a:ext cx="1160883" cy="537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Zone</a:t>
          </a:r>
          <a:r>
            <a:rPr lang="en-US" sz="1100" baseline="0"/>
            <a:t> II,well graded</a:t>
          </a:r>
        </a:p>
        <a:p xmlns:a="http://schemas.openxmlformats.org/drawingml/2006/main">
          <a:r>
            <a:rPr lang="en-US" sz="1100" baseline="0"/>
            <a:t>1.5" to 3/4"</a:t>
          </a:r>
          <a:endParaRPr lang="en-US" sz="1100"/>
        </a:p>
      </cdr:txBody>
    </cdr:sp>
  </cdr:relSizeAnchor>
  <cdr:relSizeAnchor xmlns:cdr="http://schemas.openxmlformats.org/drawingml/2006/chartDrawing">
    <cdr:from>
      <cdr:x>0.09971</cdr:x>
      <cdr:y>0.33053</cdr:y>
    </cdr:from>
    <cdr:to>
      <cdr:x>0.18298</cdr:x>
      <cdr:y>0.62891</cdr:y>
    </cdr:to>
    <cdr:sp macro="" textlink="">
      <cdr:nvSpPr>
        <cdr:cNvPr id="56" name="TextBox 55"/>
        <cdr:cNvSpPr txBox="1"/>
      </cdr:nvSpPr>
      <cdr:spPr>
        <a:xfrm xmlns:a="http://schemas.openxmlformats.org/drawingml/2006/main" rot="16200000">
          <a:off x="348642" y="1694557"/>
          <a:ext cx="1230615" cy="567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Zone </a:t>
          </a:r>
          <a:r>
            <a:rPr lang="en-US" sz="1100" b="1" baseline="0"/>
            <a:t> I , </a:t>
          </a:r>
        </a:p>
        <a:p xmlns:a="http://schemas.openxmlformats.org/drawingml/2006/main">
          <a:r>
            <a:rPr lang="en-US" sz="1100" b="1" baseline="0"/>
            <a:t>Gab Graded</a:t>
          </a:r>
          <a:endParaRPr lang="en-US" sz="1100" b="1"/>
        </a:p>
      </cdr:txBody>
    </cdr:sp>
  </cdr:relSizeAnchor>
  <cdr:relSizeAnchor xmlns:cdr="http://schemas.openxmlformats.org/drawingml/2006/chartDrawing">
    <cdr:from>
      <cdr:x>0.672</cdr:x>
      <cdr:y>0.24978</cdr:y>
    </cdr:from>
    <cdr:to>
      <cdr:x>0.85108</cdr:x>
      <cdr:y>0.43392</cdr:y>
    </cdr:to>
    <cdr:sp macro="" textlink="">
      <cdr:nvSpPr>
        <cdr:cNvPr id="57" name="TextBox 56"/>
        <cdr:cNvSpPr txBox="1"/>
      </cdr:nvSpPr>
      <cdr:spPr>
        <a:xfrm xmlns:a="http://schemas.openxmlformats.org/drawingml/2006/main">
          <a:off x="4090101" y="951662"/>
          <a:ext cx="1089966" cy="7015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Zone III,</a:t>
          </a:r>
        </a:p>
        <a:p xmlns:a="http://schemas.openxmlformats.org/drawingml/2006/main">
          <a:r>
            <a:rPr lang="en-US" sz="1100" b="1"/>
            <a:t>Well</a:t>
          </a:r>
          <a:r>
            <a:rPr lang="en-US" sz="1100" b="1" baseline="0"/>
            <a:t> graded,</a:t>
          </a:r>
        </a:p>
        <a:p xmlns:a="http://schemas.openxmlformats.org/drawingml/2006/main">
          <a:r>
            <a:rPr lang="en-US" sz="1100" b="1" baseline="0"/>
            <a:t>3/4" and finer</a:t>
          </a:r>
          <a:endParaRPr lang="en-US" sz="1100" b="1"/>
        </a:p>
      </cdr:txBody>
    </cdr:sp>
  </cdr:relSizeAnchor>
  <cdr:relSizeAnchor xmlns:cdr="http://schemas.openxmlformats.org/drawingml/2006/chartDrawing">
    <cdr:from>
      <cdr:x>0.18949</cdr:x>
      <cdr:y>0.16443</cdr:y>
    </cdr:from>
    <cdr:to>
      <cdr:x>0.35994</cdr:x>
      <cdr:y>0.2625</cdr:y>
    </cdr:to>
    <cdr:sp macro="" textlink="">
      <cdr:nvSpPr>
        <cdr:cNvPr id="58" name="TextBox 57"/>
        <cdr:cNvSpPr txBox="1"/>
      </cdr:nvSpPr>
      <cdr:spPr>
        <a:xfrm xmlns:a="http://schemas.openxmlformats.org/drawingml/2006/main">
          <a:off x="1153307" y="626478"/>
          <a:ext cx="1037444" cy="3736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Zone IV, sticky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0.61407</cdr:x>
      <cdr:y>0.68805</cdr:y>
    </cdr:from>
    <cdr:to>
      <cdr:x>0.79137</cdr:x>
      <cdr:y>0.81337</cdr:y>
    </cdr:to>
    <cdr:sp macro="" textlink="">
      <cdr:nvSpPr>
        <cdr:cNvPr id="64" name="TextBox 63"/>
        <cdr:cNvSpPr txBox="1"/>
      </cdr:nvSpPr>
      <cdr:spPr>
        <a:xfrm xmlns:a="http://schemas.openxmlformats.org/drawingml/2006/main">
          <a:off x="4187925" y="2837723"/>
          <a:ext cx="1209169" cy="516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u="sng"/>
            <a:t>Workability</a:t>
          </a:r>
        </a:p>
        <a:p xmlns:a="http://schemas.openxmlformats.org/drawingml/2006/main">
          <a:r>
            <a:rPr lang="en-US" sz="1100" u="sng"/>
            <a:t>Box</a:t>
          </a:r>
        </a:p>
      </cdr:txBody>
    </cdr:sp>
  </cdr:relSizeAnchor>
  <cdr:relSizeAnchor xmlns:cdr="http://schemas.openxmlformats.org/drawingml/2006/chartDrawing">
    <cdr:from>
      <cdr:x>0.51169</cdr:x>
      <cdr:y>0.48152</cdr:y>
    </cdr:from>
    <cdr:to>
      <cdr:x>0.64315</cdr:x>
      <cdr:y>0.70652</cdr:y>
    </cdr:to>
    <cdr:sp macro="" textlink="">
      <cdr:nvSpPr>
        <cdr:cNvPr id="19" name="Curved Connector 18"/>
        <cdr:cNvSpPr/>
      </cdr:nvSpPr>
      <cdr:spPr>
        <a:xfrm xmlns:a="http://schemas.openxmlformats.org/drawingml/2006/main" rot="16200000" flipV="1">
          <a:off x="3473932" y="2001677"/>
          <a:ext cx="927972" cy="896544"/>
        </a:xfrm>
        <a:prstGeom xmlns:a="http://schemas.openxmlformats.org/drawingml/2006/main" prst="curvedConnector3">
          <a:avLst>
            <a:gd name="adj1" fmla="val 50000"/>
          </a:avLst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0.39403</cdr:x>
      <cdr:y>0.64893</cdr:y>
    </cdr:from>
    <cdr:to>
      <cdr:x>0.57747</cdr:x>
      <cdr:y>0.7325</cdr:y>
    </cdr:to>
    <cdr:sp macro="" textlink="">
      <cdr:nvSpPr>
        <cdr:cNvPr id="53" name="TextBox 52"/>
        <cdr:cNvSpPr txBox="1"/>
      </cdr:nvSpPr>
      <cdr:spPr>
        <a:xfrm xmlns:a="http://schemas.openxmlformats.org/drawingml/2006/main">
          <a:off x="2398254" y="2472423"/>
          <a:ext cx="1116503" cy="318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Zone</a:t>
          </a:r>
          <a:r>
            <a:rPr lang="en-US" sz="1100" b="1" baseline="0"/>
            <a:t> V , Rocky</a:t>
          </a:r>
          <a:endParaRPr lang="en-US" sz="1100" b="1"/>
        </a:p>
      </cdr:txBody>
    </cdr:sp>
  </cdr:relSizeAnchor>
  <cdr:relSizeAnchor xmlns:cdr="http://schemas.openxmlformats.org/drawingml/2006/chartDrawing">
    <cdr:from>
      <cdr:x>0.49645</cdr:x>
      <cdr:y>0.66752</cdr:y>
    </cdr:from>
    <cdr:to>
      <cdr:x>0.74291</cdr:x>
      <cdr:y>0.77238</cdr:y>
    </cdr:to>
    <cdr:sp macro="" textlink="">
      <cdr:nvSpPr>
        <cdr:cNvPr id="54" name="TextBox 53"/>
        <cdr:cNvSpPr txBox="1"/>
      </cdr:nvSpPr>
      <cdr:spPr>
        <a:xfrm xmlns:a="http://schemas.openxmlformats.org/drawingml/2006/main">
          <a:off x="2667001" y="2486023"/>
          <a:ext cx="1323975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0.35266</cdr:x>
      <cdr:y>0.25877</cdr:y>
    </cdr:from>
    <cdr:to>
      <cdr:x>0.52288</cdr:x>
      <cdr:y>0.38921</cdr:y>
    </cdr:to>
    <cdr:sp macro="" textlink="">
      <cdr:nvSpPr>
        <cdr:cNvPr id="55" name="TextBox 54"/>
        <cdr:cNvSpPr txBox="1"/>
      </cdr:nvSpPr>
      <cdr:spPr>
        <a:xfrm xmlns:a="http://schemas.openxmlformats.org/drawingml/2006/main" rot="20980170">
          <a:off x="2405098" y="1067268"/>
          <a:ext cx="1160883" cy="537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Zone</a:t>
          </a:r>
          <a:r>
            <a:rPr lang="en-US" sz="1100" baseline="0"/>
            <a:t> II,well graded</a:t>
          </a:r>
        </a:p>
        <a:p xmlns:a="http://schemas.openxmlformats.org/drawingml/2006/main">
          <a:r>
            <a:rPr lang="en-US" sz="1100" baseline="0"/>
            <a:t>1.5" to 3/4"</a:t>
          </a:r>
          <a:endParaRPr lang="en-US" sz="1100"/>
        </a:p>
      </cdr:txBody>
    </cdr:sp>
  </cdr:relSizeAnchor>
  <cdr:relSizeAnchor xmlns:cdr="http://schemas.openxmlformats.org/drawingml/2006/chartDrawing">
    <cdr:from>
      <cdr:x>0.09971</cdr:x>
      <cdr:y>0.33053</cdr:y>
    </cdr:from>
    <cdr:to>
      <cdr:x>0.18298</cdr:x>
      <cdr:y>0.62891</cdr:y>
    </cdr:to>
    <cdr:sp macro="" textlink="">
      <cdr:nvSpPr>
        <cdr:cNvPr id="56" name="TextBox 55"/>
        <cdr:cNvSpPr txBox="1"/>
      </cdr:nvSpPr>
      <cdr:spPr>
        <a:xfrm xmlns:a="http://schemas.openxmlformats.org/drawingml/2006/main" rot="16200000">
          <a:off x="348642" y="1694557"/>
          <a:ext cx="1230615" cy="567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Zone </a:t>
          </a:r>
          <a:r>
            <a:rPr lang="en-US" sz="1100" b="1" baseline="0"/>
            <a:t> I , </a:t>
          </a:r>
        </a:p>
        <a:p xmlns:a="http://schemas.openxmlformats.org/drawingml/2006/main">
          <a:r>
            <a:rPr lang="en-US" sz="1100" b="1" baseline="0"/>
            <a:t>Gab Graded</a:t>
          </a:r>
          <a:endParaRPr lang="en-US" sz="1100" b="1"/>
        </a:p>
      </cdr:txBody>
    </cdr:sp>
  </cdr:relSizeAnchor>
  <cdr:relSizeAnchor xmlns:cdr="http://schemas.openxmlformats.org/drawingml/2006/chartDrawing">
    <cdr:from>
      <cdr:x>0.672</cdr:x>
      <cdr:y>0.24978</cdr:y>
    </cdr:from>
    <cdr:to>
      <cdr:x>0.85108</cdr:x>
      <cdr:y>0.43392</cdr:y>
    </cdr:to>
    <cdr:sp macro="" textlink="">
      <cdr:nvSpPr>
        <cdr:cNvPr id="57" name="TextBox 56"/>
        <cdr:cNvSpPr txBox="1"/>
      </cdr:nvSpPr>
      <cdr:spPr>
        <a:xfrm xmlns:a="http://schemas.openxmlformats.org/drawingml/2006/main">
          <a:off x="4090101" y="951662"/>
          <a:ext cx="1089966" cy="7015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Zone III,</a:t>
          </a:r>
        </a:p>
        <a:p xmlns:a="http://schemas.openxmlformats.org/drawingml/2006/main">
          <a:r>
            <a:rPr lang="en-US" sz="1100" b="1"/>
            <a:t>Well</a:t>
          </a:r>
          <a:r>
            <a:rPr lang="en-US" sz="1100" b="1" baseline="0"/>
            <a:t> graded,</a:t>
          </a:r>
        </a:p>
        <a:p xmlns:a="http://schemas.openxmlformats.org/drawingml/2006/main">
          <a:r>
            <a:rPr lang="en-US" sz="1100" b="1" baseline="0"/>
            <a:t>3/4" and finer</a:t>
          </a:r>
          <a:endParaRPr lang="en-US" sz="1100" b="1"/>
        </a:p>
      </cdr:txBody>
    </cdr:sp>
  </cdr:relSizeAnchor>
  <cdr:relSizeAnchor xmlns:cdr="http://schemas.openxmlformats.org/drawingml/2006/chartDrawing">
    <cdr:from>
      <cdr:x>0.18949</cdr:x>
      <cdr:y>0.16443</cdr:y>
    </cdr:from>
    <cdr:to>
      <cdr:x>0.35994</cdr:x>
      <cdr:y>0.2625</cdr:y>
    </cdr:to>
    <cdr:sp macro="" textlink="">
      <cdr:nvSpPr>
        <cdr:cNvPr id="58" name="TextBox 57"/>
        <cdr:cNvSpPr txBox="1"/>
      </cdr:nvSpPr>
      <cdr:spPr>
        <a:xfrm xmlns:a="http://schemas.openxmlformats.org/drawingml/2006/main">
          <a:off x="1153307" y="626478"/>
          <a:ext cx="1037444" cy="3736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Zone IV, sticky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0.61407</cdr:x>
      <cdr:y>0.68805</cdr:y>
    </cdr:from>
    <cdr:to>
      <cdr:x>0.79137</cdr:x>
      <cdr:y>0.81337</cdr:y>
    </cdr:to>
    <cdr:sp macro="" textlink="">
      <cdr:nvSpPr>
        <cdr:cNvPr id="64" name="TextBox 63"/>
        <cdr:cNvSpPr txBox="1"/>
      </cdr:nvSpPr>
      <cdr:spPr>
        <a:xfrm xmlns:a="http://schemas.openxmlformats.org/drawingml/2006/main">
          <a:off x="4187925" y="2837723"/>
          <a:ext cx="1209169" cy="516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u="sng"/>
            <a:t>Workability</a:t>
          </a:r>
        </a:p>
        <a:p xmlns:a="http://schemas.openxmlformats.org/drawingml/2006/main">
          <a:r>
            <a:rPr lang="en-US" sz="1100" u="sng"/>
            <a:t>Box</a:t>
          </a:r>
        </a:p>
      </cdr:txBody>
    </cdr:sp>
  </cdr:relSizeAnchor>
  <cdr:relSizeAnchor xmlns:cdr="http://schemas.openxmlformats.org/drawingml/2006/chartDrawing">
    <cdr:from>
      <cdr:x>0.51169</cdr:x>
      <cdr:y>0.48152</cdr:y>
    </cdr:from>
    <cdr:to>
      <cdr:x>0.64315</cdr:x>
      <cdr:y>0.70652</cdr:y>
    </cdr:to>
    <cdr:sp macro="" textlink="">
      <cdr:nvSpPr>
        <cdr:cNvPr id="19" name="Curved Connector 18"/>
        <cdr:cNvSpPr/>
      </cdr:nvSpPr>
      <cdr:spPr>
        <a:xfrm xmlns:a="http://schemas.openxmlformats.org/drawingml/2006/main" rot="16200000" flipV="1">
          <a:off x="3473932" y="2001677"/>
          <a:ext cx="927972" cy="896544"/>
        </a:xfrm>
        <a:prstGeom xmlns:a="http://schemas.openxmlformats.org/drawingml/2006/main" prst="curvedConnector3">
          <a:avLst>
            <a:gd name="adj1" fmla="val 50000"/>
          </a:avLst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0"/>
  <sheetViews>
    <sheetView zoomScale="80" zoomScaleNormal="80" workbookViewId="0">
      <selection activeCell="D27" sqref="D27:D28"/>
    </sheetView>
  </sheetViews>
  <sheetFormatPr defaultRowHeight="15"/>
  <cols>
    <col min="2" max="2" width="12.7109375" customWidth="1"/>
    <col min="3" max="6" width="15.7109375" customWidth="1"/>
    <col min="7" max="7" width="16.28515625" customWidth="1"/>
    <col min="8" max="8" width="15.42578125" customWidth="1"/>
  </cols>
  <sheetData>
    <row r="2" spans="1:7" ht="18.75">
      <c r="A2" s="428" t="s">
        <v>234</v>
      </c>
    </row>
    <row r="4" spans="1:7" ht="18.75">
      <c r="B4" s="408" t="s">
        <v>201</v>
      </c>
    </row>
    <row r="5" spans="1:7" ht="15.75" thickBot="1"/>
    <row r="6" spans="1:7" ht="37.5">
      <c r="B6" s="451" t="s">
        <v>16</v>
      </c>
      <c r="C6" s="452" t="s">
        <v>228</v>
      </c>
      <c r="D6" s="452" t="s">
        <v>229</v>
      </c>
      <c r="E6" s="453" t="s">
        <v>191</v>
      </c>
      <c r="F6" s="453" t="s">
        <v>230</v>
      </c>
      <c r="G6" s="457" t="s">
        <v>231</v>
      </c>
    </row>
    <row r="7" spans="1:7" ht="18.75">
      <c r="B7" s="420" t="s">
        <v>0</v>
      </c>
      <c r="C7" s="473">
        <v>0</v>
      </c>
      <c r="D7" s="473">
        <v>0</v>
      </c>
      <c r="E7" s="456">
        <f>D7-C7</f>
        <v>0</v>
      </c>
      <c r="F7" s="455">
        <f>IF($E$19=0, 0, E7/$E$19)</f>
        <v>0</v>
      </c>
      <c r="G7" s="443">
        <f>IF($E$19=0, 0, 1-F7)</f>
        <v>0</v>
      </c>
    </row>
    <row r="8" spans="1:7" ht="18.75">
      <c r="B8" s="423" t="s">
        <v>3</v>
      </c>
      <c r="C8" s="473">
        <v>0</v>
      </c>
      <c r="D8" s="473">
        <v>0</v>
      </c>
      <c r="E8" s="456">
        <f t="shared" ref="E8:E18" si="0">D8-C8</f>
        <v>0</v>
      </c>
      <c r="F8" s="455">
        <f t="shared" ref="F8:F18" si="1">IF($E$19=0, 0, E8/$E$19)</f>
        <v>0</v>
      </c>
      <c r="G8" s="443">
        <f>IF($E$19=0, 0, G7-F8)</f>
        <v>0</v>
      </c>
    </row>
    <row r="9" spans="1:7" ht="18.75">
      <c r="B9" s="423" t="s">
        <v>6</v>
      </c>
      <c r="C9" s="473">
        <v>0</v>
      </c>
      <c r="D9" s="473">
        <v>0</v>
      </c>
      <c r="E9" s="456">
        <f t="shared" si="0"/>
        <v>0</v>
      </c>
      <c r="F9" s="455">
        <f t="shared" si="1"/>
        <v>0</v>
      </c>
      <c r="G9" s="443">
        <f t="shared" ref="G9:G18" si="2">IF($E$19=0, 0, G8-F9)</f>
        <v>0</v>
      </c>
    </row>
    <row r="10" spans="1:7" ht="18.75">
      <c r="B10" s="423" t="s">
        <v>1</v>
      </c>
      <c r="C10" s="473">
        <v>0</v>
      </c>
      <c r="D10" s="473">
        <v>0</v>
      </c>
      <c r="E10" s="456">
        <f t="shared" si="0"/>
        <v>0</v>
      </c>
      <c r="F10" s="455">
        <f t="shared" si="1"/>
        <v>0</v>
      </c>
      <c r="G10" s="443">
        <f t="shared" si="2"/>
        <v>0</v>
      </c>
    </row>
    <row r="11" spans="1:7" ht="18.75">
      <c r="B11" s="423" t="s">
        <v>4</v>
      </c>
      <c r="C11" s="473">
        <v>0</v>
      </c>
      <c r="D11" s="473">
        <v>0</v>
      </c>
      <c r="E11" s="456">
        <f t="shared" si="0"/>
        <v>0</v>
      </c>
      <c r="F11" s="455">
        <f t="shared" si="1"/>
        <v>0</v>
      </c>
      <c r="G11" s="443">
        <f t="shared" si="2"/>
        <v>0</v>
      </c>
    </row>
    <row r="12" spans="1:7" ht="18.75">
      <c r="B12" s="423" t="s">
        <v>2</v>
      </c>
      <c r="C12" s="473">
        <v>0</v>
      </c>
      <c r="D12" s="473">
        <v>0</v>
      </c>
      <c r="E12" s="456">
        <f t="shared" si="0"/>
        <v>0</v>
      </c>
      <c r="F12" s="455">
        <f t="shared" si="1"/>
        <v>0</v>
      </c>
      <c r="G12" s="443">
        <f t="shared" si="2"/>
        <v>0</v>
      </c>
    </row>
    <row r="13" spans="1:7" ht="18.75">
      <c r="B13" s="423" t="s">
        <v>5</v>
      </c>
      <c r="C13" s="473">
        <v>0</v>
      </c>
      <c r="D13" s="473">
        <v>0</v>
      </c>
      <c r="E13" s="456">
        <f t="shared" si="0"/>
        <v>0</v>
      </c>
      <c r="F13" s="455">
        <f t="shared" si="1"/>
        <v>0</v>
      </c>
      <c r="G13" s="443">
        <f t="shared" si="2"/>
        <v>0</v>
      </c>
    </row>
    <row r="14" spans="1:7" ht="18.75">
      <c r="B14" s="423" t="s">
        <v>7</v>
      </c>
      <c r="C14" s="474">
        <v>0</v>
      </c>
      <c r="D14" s="474">
        <v>0</v>
      </c>
      <c r="E14" s="456">
        <f t="shared" si="0"/>
        <v>0</v>
      </c>
      <c r="F14" s="455">
        <f t="shared" si="1"/>
        <v>0</v>
      </c>
      <c r="G14" s="443">
        <f t="shared" si="2"/>
        <v>0</v>
      </c>
    </row>
    <row r="15" spans="1:7" ht="18.75">
      <c r="B15" s="423" t="s">
        <v>8</v>
      </c>
      <c r="C15" s="474">
        <v>0</v>
      </c>
      <c r="D15" s="474">
        <v>0</v>
      </c>
      <c r="E15" s="456">
        <f t="shared" si="0"/>
        <v>0</v>
      </c>
      <c r="F15" s="455">
        <f t="shared" si="1"/>
        <v>0</v>
      </c>
      <c r="G15" s="443">
        <f t="shared" si="2"/>
        <v>0</v>
      </c>
    </row>
    <row r="16" spans="1:7" ht="18.75">
      <c r="B16" s="423" t="s">
        <v>9</v>
      </c>
      <c r="C16" s="474">
        <v>0</v>
      </c>
      <c r="D16" s="474">
        <v>0</v>
      </c>
      <c r="E16" s="456">
        <f t="shared" si="0"/>
        <v>0</v>
      </c>
      <c r="F16" s="455">
        <f t="shared" si="1"/>
        <v>0</v>
      </c>
      <c r="G16" s="443">
        <f t="shared" si="2"/>
        <v>0</v>
      </c>
    </row>
    <row r="17" spans="2:7" ht="18.75">
      <c r="B17" s="423" t="s">
        <v>10</v>
      </c>
      <c r="C17" s="474">
        <v>0</v>
      </c>
      <c r="D17" s="474">
        <v>0</v>
      </c>
      <c r="E17" s="456">
        <f t="shared" si="0"/>
        <v>0</v>
      </c>
      <c r="F17" s="455">
        <f t="shared" si="1"/>
        <v>0</v>
      </c>
      <c r="G17" s="443">
        <f t="shared" si="2"/>
        <v>0</v>
      </c>
    </row>
    <row r="18" spans="2:7" ht="19.5" thickBot="1">
      <c r="B18" s="424" t="s">
        <v>11</v>
      </c>
      <c r="C18" s="475">
        <v>0</v>
      </c>
      <c r="D18" s="475">
        <v>0</v>
      </c>
      <c r="E18" s="458">
        <f t="shared" si="0"/>
        <v>0</v>
      </c>
      <c r="F18" s="459">
        <f t="shared" si="1"/>
        <v>0</v>
      </c>
      <c r="G18" s="460">
        <f t="shared" si="2"/>
        <v>0</v>
      </c>
    </row>
    <row r="19" spans="2:7" ht="18.75">
      <c r="D19" s="431" t="s">
        <v>232</v>
      </c>
      <c r="E19" s="480">
        <f>SUM(E7:E18)</f>
        <v>0</v>
      </c>
    </row>
    <row r="21" spans="2:7" ht="18.75">
      <c r="B21" s="408" t="s">
        <v>203</v>
      </c>
    </row>
    <row r="22" spans="2:7" ht="15.75" thickBot="1"/>
    <row r="23" spans="2:7" ht="37.5">
      <c r="B23" s="451" t="s">
        <v>16</v>
      </c>
      <c r="C23" s="452" t="s">
        <v>228</v>
      </c>
      <c r="D23" s="452" t="s">
        <v>229</v>
      </c>
      <c r="E23" s="453" t="s">
        <v>191</v>
      </c>
      <c r="F23" s="453" t="s">
        <v>230</v>
      </c>
      <c r="G23" s="457" t="s">
        <v>231</v>
      </c>
    </row>
    <row r="24" spans="2:7" ht="18.75">
      <c r="B24" s="420" t="s">
        <v>0</v>
      </c>
      <c r="C24" s="476">
        <v>7074.6</v>
      </c>
      <c r="D24" s="477">
        <v>7074.6</v>
      </c>
      <c r="E24" s="456">
        <f t="shared" ref="E24:E35" si="3">D24-C24</f>
        <v>0</v>
      </c>
      <c r="F24" s="455">
        <f>IF($E$36=0, 0, E24/$E$36)</f>
        <v>0</v>
      </c>
      <c r="G24" s="443">
        <f>IF($E$36=0, 0, 1-F24)</f>
        <v>1</v>
      </c>
    </row>
    <row r="25" spans="2:7" ht="18.75">
      <c r="B25" s="423" t="s">
        <v>3</v>
      </c>
      <c r="C25" s="476">
        <v>7261.8</v>
      </c>
      <c r="D25" s="477">
        <v>7347.9318000000003</v>
      </c>
      <c r="E25" s="456">
        <f t="shared" si="3"/>
        <v>86.131800000000112</v>
      </c>
      <c r="F25" s="455">
        <f>IF($E$36=0, 0, E25/$E$36)</f>
        <v>6.5399999999999819E-2</v>
      </c>
      <c r="G25" s="443">
        <f>IF($E$36=0, 0, G24-F25)</f>
        <v>0.93460000000000021</v>
      </c>
    </row>
    <row r="26" spans="2:7" ht="18.75">
      <c r="B26" s="423" t="s">
        <v>6</v>
      </c>
      <c r="C26" s="476">
        <v>7268</v>
      </c>
      <c r="D26" s="477">
        <v>7761.0847999999996</v>
      </c>
      <c r="E26" s="456">
        <f t="shared" si="3"/>
        <v>493.08479999999963</v>
      </c>
      <c r="F26" s="455">
        <f t="shared" ref="F26:F35" si="4">IF($E$36=0, 0, E26/$E$36)</f>
        <v>0.37439999999999818</v>
      </c>
      <c r="G26" s="443">
        <f t="shared" ref="G26:G35" si="5">IF($E$36=0, 0, G25-F26)</f>
        <v>0.56020000000000203</v>
      </c>
    </row>
    <row r="27" spans="2:7" ht="18.75">
      <c r="B27" s="423" t="s">
        <v>1</v>
      </c>
      <c r="C27" s="476">
        <v>7132.1</v>
      </c>
      <c r="D27" s="477">
        <v>7576.5875000000005</v>
      </c>
      <c r="E27" s="456">
        <f t="shared" si="3"/>
        <v>444.48750000000018</v>
      </c>
      <c r="F27" s="455">
        <f t="shared" si="4"/>
        <v>0.33749999999999875</v>
      </c>
      <c r="G27" s="443">
        <f t="shared" si="5"/>
        <v>0.22270000000000328</v>
      </c>
    </row>
    <row r="28" spans="2:7" ht="18.75">
      <c r="B28" s="423" t="s">
        <v>4</v>
      </c>
      <c r="C28" s="476">
        <v>7135.9</v>
      </c>
      <c r="D28" s="477">
        <v>7299.3396999999995</v>
      </c>
      <c r="E28" s="456">
        <f t="shared" si="3"/>
        <v>163.4396999999999</v>
      </c>
      <c r="F28" s="455">
        <f t="shared" si="4"/>
        <v>0.12409999999999941</v>
      </c>
      <c r="G28" s="443">
        <f t="shared" si="5"/>
        <v>9.8600000000003879E-2</v>
      </c>
    </row>
    <row r="29" spans="2:7" ht="18.75">
      <c r="B29" s="423" t="s">
        <v>2</v>
      </c>
      <c r="C29" s="476">
        <v>6935.9</v>
      </c>
      <c r="D29" s="477">
        <v>7055.2201999999997</v>
      </c>
      <c r="E29" s="456">
        <f t="shared" si="3"/>
        <v>119.32020000000011</v>
      </c>
      <c r="F29" s="455">
        <f t="shared" si="4"/>
        <v>9.0599999999999709E-2</v>
      </c>
      <c r="G29" s="443">
        <f t="shared" si="5"/>
        <v>8.0000000000041704E-3</v>
      </c>
    </row>
    <row r="30" spans="2:7" ht="18.75">
      <c r="B30" s="423" t="s">
        <v>5</v>
      </c>
      <c r="C30" s="476">
        <v>6053.8</v>
      </c>
      <c r="D30" s="477">
        <v>6064.3360000000057</v>
      </c>
      <c r="E30" s="456">
        <f t="shared" si="3"/>
        <v>10.536000000005515</v>
      </c>
      <c r="F30" s="455">
        <f t="shared" si="4"/>
        <v>8.0000000000041548E-3</v>
      </c>
      <c r="G30" s="443">
        <f t="shared" si="5"/>
        <v>1.5612511283791264E-17</v>
      </c>
    </row>
    <row r="31" spans="2:7" ht="18.75">
      <c r="B31" s="423" t="s">
        <v>7</v>
      </c>
      <c r="C31" s="476">
        <v>0</v>
      </c>
      <c r="D31" s="477">
        <v>0</v>
      </c>
      <c r="E31" s="456">
        <f t="shared" si="3"/>
        <v>0</v>
      </c>
      <c r="F31" s="455">
        <f t="shared" si="4"/>
        <v>0</v>
      </c>
      <c r="G31" s="443">
        <f t="shared" si="5"/>
        <v>1.5612511283791264E-17</v>
      </c>
    </row>
    <row r="32" spans="2:7" ht="18.75">
      <c r="B32" s="423" t="s">
        <v>8</v>
      </c>
      <c r="C32" s="476">
        <v>0</v>
      </c>
      <c r="D32" s="477">
        <v>0</v>
      </c>
      <c r="E32" s="456">
        <f t="shared" si="3"/>
        <v>0</v>
      </c>
      <c r="F32" s="455">
        <f t="shared" si="4"/>
        <v>0</v>
      </c>
      <c r="G32" s="443">
        <f t="shared" si="5"/>
        <v>1.5612511283791264E-17</v>
      </c>
    </row>
    <row r="33" spans="2:7" ht="18.75">
      <c r="B33" s="423" t="s">
        <v>9</v>
      </c>
      <c r="C33" s="476">
        <v>0</v>
      </c>
      <c r="D33" s="477">
        <v>0</v>
      </c>
      <c r="E33" s="456">
        <f t="shared" si="3"/>
        <v>0</v>
      </c>
      <c r="F33" s="455">
        <f t="shared" si="4"/>
        <v>0</v>
      </c>
      <c r="G33" s="443">
        <f t="shared" si="5"/>
        <v>1.5612511283791264E-17</v>
      </c>
    </row>
    <row r="34" spans="2:7" ht="18.75">
      <c r="B34" s="423" t="s">
        <v>10</v>
      </c>
      <c r="C34" s="476">
        <v>0</v>
      </c>
      <c r="D34" s="477">
        <v>0</v>
      </c>
      <c r="E34" s="456">
        <f t="shared" si="3"/>
        <v>0</v>
      </c>
      <c r="F34" s="455">
        <f t="shared" si="4"/>
        <v>0</v>
      </c>
      <c r="G34" s="443">
        <f t="shared" si="5"/>
        <v>1.5612511283791264E-17</v>
      </c>
    </row>
    <row r="35" spans="2:7" ht="19.5" thickBot="1">
      <c r="B35" s="424" t="s">
        <v>11</v>
      </c>
      <c r="C35" s="478">
        <v>0</v>
      </c>
      <c r="D35" s="479">
        <v>0</v>
      </c>
      <c r="E35" s="458">
        <f t="shared" si="3"/>
        <v>0</v>
      </c>
      <c r="F35" s="459">
        <f t="shared" si="4"/>
        <v>0</v>
      </c>
      <c r="G35" s="460">
        <f t="shared" si="5"/>
        <v>1.5612511283791264E-17</v>
      </c>
    </row>
    <row r="36" spans="2:7" ht="18.75">
      <c r="D36" s="431" t="s">
        <v>232</v>
      </c>
      <c r="E36" s="480">
        <f>SUM(E24:E35)</f>
        <v>1317.0000000000055</v>
      </c>
    </row>
    <row r="38" spans="2:7" ht="18.75">
      <c r="B38" s="408" t="s">
        <v>202</v>
      </c>
    </row>
    <row r="39" spans="2:7" ht="15.75" thickBot="1"/>
    <row r="40" spans="2:7" ht="37.5">
      <c r="B40" s="451" t="s">
        <v>16</v>
      </c>
      <c r="C40" s="452" t="s">
        <v>228</v>
      </c>
      <c r="D40" s="452" t="s">
        <v>229</v>
      </c>
      <c r="E40" s="453" t="s">
        <v>191</v>
      </c>
      <c r="F40" s="453" t="s">
        <v>230</v>
      </c>
      <c r="G40" s="457" t="s">
        <v>231</v>
      </c>
    </row>
    <row r="41" spans="2:7" ht="18.75">
      <c r="B41" s="420" t="s">
        <v>0</v>
      </c>
      <c r="C41" s="476">
        <v>7074.6</v>
      </c>
      <c r="D41" s="477">
        <v>7074.6</v>
      </c>
      <c r="E41" s="456">
        <f t="shared" ref="E41:E52" si="6">D41-C41</f>
        <v>0</v>
      </c>
      <c r="F41" s="455">
        <f>IF($E$53=0, 0, E41/$E$53)</f>
        <v>0</v>
      </c>
      <c r="G41" s="443">
        <f>IF($E$53=0, 0, 1-F41)</f>
        <v>1</v>
      </c>
    </row>
    <row r="42" spans="2:7" ht="18.75">
      <c r="B42" s="423" t="s">
        <v>3</v>
      </c>
      <c r="C42" s="476">
        <v>7261.8</v>
      </c>
      <c r="D42" s="477">
        <v>7261.8</v>
      </c>
      <c r="E42" s="456">
        <f t="shared" si="6"/>
        <v>0</v>
      </c>
      <c r="F42" s="455">
        <f>IF($E$53=0, 0, E42/$E$53)</f>
        <v>0</v>
      </c>
      <c r="G42" s="443">
        <f>IF($E$53=0, 0, G41-F42)</f>
        <v>1</v>
      </c>
    </row>
    <row r="43" spans="2:7" ht="18.75">
      <c r="B43" s="423" t="s">
        <v>6</v>
      </c>
      <c r="C43" s="476">
        <v>7268</v>
      </c>
      <c r="D43" s="477">
        <v>7268</v>
      </c>
      <c r="E43" s="456">
        <f t="shared" si="6"/>
        <v>0</v>
      </c>
      <c r="F43" s="455">
        <f t="shared" ref="F43:F52" si="7">IF($E$53=0, 0, E43/$E$53)</f>
        <v>0</v>
      </c>
      <c r="G43" s="443">
        <f t="shared" ref="G43:G52" si="8">IF($E$53=0, 0, G42-F43)</f>
        <v>1</v>
      </c>
    </row>
    <row r="44" spans="2:7" ht="18.75">
      <c r="B44" s="423" t="s">
        <v>1</v>
      </c>
      <c r="C44" s="476">
        <v>7132.1</v>
      </c>
      <c r="D44" s="477">
        <v>7132.8615</v>
      </c>
      <c r="E44" s="456">
        <f t="shared" si="6"/>
        <v>0.76149999999961437</v>
      </c>
      <c r="F44" s="455">
        <f t="shared" si="7"/>
        <v>5.0170579971879083E-4</v>
      </c>
      <c r="G44" s="443">
        <f t="shared" si="8"/>
        <v>0.99949829420028125</v>
      </c>
    </row>
    <row r="45" spans="2:7" ht="18.75">
      <c r="B45" s="423" t="s">
        <v>4</v>
      </c>
      <c r="C45" s="476">
        <v>7135.9</v>
      </c>
      <c r="D45" s="477">
        <v>7227.4322999999995</v>
      </c>
      <c r="E45" s="456">
        <f t="shared" si="6"/>
        <v>91.53229999999985</v>
      </c>
      <c r="F45" s="455">
        <f t="shared" si="7"/>
        <v>6.0305037126229089E-2</v>
      </c>
      <c r="G45" s="443">
        <f t="shared" si="8"/>
        <v>0.93919325707405221</v>
      </c>
    </row>
    <row r="46" spans="2:7" ht="18.75">
      <c r="B46" s="423" t="s">
        <v>2</v>
      </c>
      <c r="C46" s="476">
        <v>6935.9</v>
      </c>
      <c r="D46" s="477">
        <v>7628.1034999999993</v>
      </c>
      <c r="E46" s="456">
        <f t="shared" si="6"/>
        <v>692.20349999999962</v>
      </c>
      <c r="F46" s="455">
        <f t="shared" si="7"/>
        <v>0.45605057194461152</v>
      </c>
      <c r="G46" s="443">
        <f t="shared" si="8"/>
        <v>0.4831426851294407</v>
      </c>
    </row>
    <row r="47" spans="2:7" ht="18.75">
      <c r="B47" s="423" t="s">
        <v>5</v>
      </c>
      <c r="C47" s="476">
        <v>6703.6</v>
      </c>
      <c r="D47" s="477">
        <v>7228.7304000000004</v>
      </c>
      <c r="E47" s="456">
        <f t="shared" si="6"/>
        <v>525.13040000000001</v>
      </c>
      <c r="F47" s="455">
        <f t="shared" si="7"/>
        <v>0.34597631948625335</v>
      </c>
      <c r="G47" s="443">
        <f t="shared" si="8"/>
        <v>0.13716636564318735</v>
      </c>
    </row>
    <row r="48" spans="2:7" ht="18.75">
      <c r="B48" s="423" t="s">
        <v>7</v>
      </c>
      <c r="C48" s="476">
        <v>7302.8</v>
      </c>
      <c r="D48" s="477">
        <v>7479.0111000000006</v>
      </c>
      <c r="E48" s="456">
        <f t="shared" si="6"/>
        <v>176.21110000000044</v>
      </c>
      <c r="F48" s="455">
        <f t="shared" si="7"/>
        <v>0.11609472205498728</v>
      </c>
      <c r="G48" s="443">
        <f t="shared" si="8"/>
        <v>2.1071643588200073E-2</v>
      </c>
    </row>
    <row r="49" spans="2:8" ht="18.75">
      <c r="B49" s="423" t="s">
        <v>8</v>
      </c>
      <c r="C49" s="476">
        <v>7245.6</v>
      </c>
      <c r="D49" s="477">
        <v>7277.5830000000005</v>
      </c>
      <c r="E49" s="456">
        <f t="shared" si="6"/>
        <v>31.983000000000175</v>
      </c>
      <c r="F49" s="455">
        <f t="shared" si="7"/>
        <v>2.10716435882E-2</v>
      </c>
      <c r="G49" s="443">
        <f t="shared" si="8"/>
        <v>7.2858385991025898E-17</v>
      </c>
    </row>
    <row r="50" spans="2:8" ht="18.75">
      <c r="B50" s="423" t="s">
        <v>9</v>
      </c>
      <c r="C50" s="476">
        <v>7325</v>
      </c>
      <c r="D50" s="477">
        <v>7325</v>
      </c>
      <c r="E50" s="456">
        <f t="shared" si="6"/>
        <v>0</v>
      </c>
      <c r="F50" s="455">
        <f t="shared" si="7"/>
        <v>0</v>
      </c>
      <c r="G50" s="443">
        <f t="shared" si="8"/>
        <v>7.2858385991025898E-17</v>
      </c>
    </row>
    <row r="51" spans="2:8" ht="18.75">
      <c r="B51" s="423" t="s">
        <v>10</v>
      </c>
      <c r="C51" s="476">
        <v>7262.5</v>
      </c>
      <c r="D51" s="477">
        <v>7262.5</v>
      </c>
      <c r="E51" s="456">
        <f t="shared" si="6"/>
        <v>0</v>
      </c>
      <c r="F51" s="455">
        <f t="shared" si="7"/>
        <v>0</v>
      </c>
      <c r="G51" s="443">
        <f t="shared" si="8"/>
        <v>7.2858385991025898E-17</v>
      </c>
    </row>
    <row r="52" spans="2:8" ht="19.5" thickBot="1">
      <c r="B52" s="424" t="s">
        <v>11</v>
      </c>
      <c r="C52" s="478">
        <v>6053.8</v>
      </c>
      <c r="D52" s="479">
        <v>6053.8</v>
      </c>
      <c r="E52" s="458">
        <f t="shared" si="6"/>
        <v>0</v>
      </c>
      <c r="F52" s="459">
        <f t="shared" si="7"/>
        <v>0</v>
      </c>
      <c r="G52" s="460">
        <f t="shared" si="8"/>
        <v>7.2858385991025898E-17</v>
      </c>
    </row>
    <row r="53" spans="2:8" ht="18.75">
      <c r="D53" s="431" t="s">
        <v>232</v>
      </c>
      <c r="E53" s="480">
        <f>SUM(E41:E52)</f>
        <v>1517.8217999999997</v>
      </c>
    </row>
    <row r="55" spans="2:8" ht="18.75">
      <c r="B55" s="408" t="s">
        <v>187</v>
      </c>
    </row>
    <row r="56" spans="2:8" ht="15.75" thickBot="1"/>
    <row r="57" spans="2:8" ht="37.5">
      <c r="B57" s="451" t="s">
        <v>16</v>
      </c>
      <c r="C57" s="452" t="s">
        <v>228</v>
      </c>
      <c r="D57" s="452" t="s">
        <v>229</v>
      </c>
      <c r="E57" s="453" t="s">
        <v>191</v>
      </c>
      <c r="F57" s="453" t="s">
        <v>230</v>
      </c>
      <c r="G57" s="452" t="s">
        <v>231</v>
      </c>
      <c r="H57" s="457" t="s">
        <v>235</v>
      </c>
    </row>
    <row r="58" spans="2:8" ht="18.75">
      <c r="B58" s="420" t="s">
        <v>0</v>
      </c>
      <c r="C58" s="476">
        <v>7074.6</v>
      </c>
      <c r="D58" s="477">
        <v>7074.6</v>
      </c>
      <c r="E58" s="456">
        <f>D58-C58</f>
        <v>0</v>
      </c>
      <c r="F58" s="468">
        <f>IF($E$70=0, 0, E58/$E$70)</f>
        <v>0</v>
      </c>
      <c r="G58" s="439">
        <f>IF($E$70=0, 0, 1-F58)</f>
        <v>1</v>
      </c>
      <c r="H58" s="465">
        <f>F58</f>
        <v>0</v>
      </c>
    </row>
    <row r="59" spans="2:8" ht="18.75">
      <c r="B59" s="423" t="s">
        <v>3</v>
      </c>
      <c r="C59" s="476">
        <v>7261.8</v>
      </c>
      <c r="D59" s="477">
        <v>7261.8</v>
      </c>
      <c r="E59" s="456">
        <f t="shared" ref="E59:E69" si="9">D59-C59</f>
        <v>0</v>
      </c>
      <c r="F59" s="468">
        <f t="shared" ref="F59:F69" si="10">IF($E$70=0, 0, E59/$E$70)</f>
        <v>0</v>
      </c>
      <c r="G59" s="439">
        <f>IF($E$70=0, 0, G58-F59)</f>
        <v>1</v>
      </c>
      <c r="H59" s="465">
        <f>H58+F59</f>
        <v>0</v>
      </c>
    </row>
    <row r="60" spans="2:8" ht="18.75">
      <c r="B60" s="423" t="s">
        <v>6</v>
      </c>
      <c r="C60" s="476">
        <v>7268</v>
      </c>
      <c r="D60" s="477">
        <v>7268</v>
      </c>
      <c r="E60" s="456">
        <f t="shared" si="9"/>
        <v>0</v>
      </c>
      <c r="F60" s="468">
        <f t="shared" si="10"/>
        <v>0</v>
      </c>
      <c r="G60" s="439">
        <f t="shared" ref="G60:G69" si="11">IF($E$70=0, 0, G59-F60)</f>
        <v>1</v>
      </c>
      <c r="H60" s="465">
        <f t="shared" ref="H60:H68" si="12">H59+F60</f>
        <v>0</v>
      </c>
    </row>
    <row r="61" spans="2:8" ht="18.75">
      <c r="B61" s="423" t="s">
        <v>1</v>
      </c>
      <c r="C61" s="476">
        <v>545.79999999999995</v>
      </c>
      <c r="D61" s="477">
        <v>545.79999999999995</v>
      </c>
      <c r="E61" s="456">
        <f t="shared" si="9"/>
        <v>0</v>
      </c>
      <c r="F61" s="468">
        <f t="shared" si="10"/>
        <v>0</v>
      </c>
      <c r="G61" s="439">
        <f t="shared" si="11"/>
        <v>1</v>
      </c>
      <c r="H61" s="465">
        <f t="shared" si="12"/>
        <v>0</v>
      </c>
    </row>
    <row r="62" spans="2:8" ht="18.75">
      <c r="B62" s="423" t="s">
        <v>4</v>
      </c>
      <c r="C62" s="476">
        <v>7135.9</v>
      </c>
      <c r="D62" s="477">
        <v>7179.3915043800152</v>
      </c>
      <c r="E62" s="456">
        <f t="shared" si="9"/>
        <v>43.491504380015613</v>
      </c>
      <c r="F62" s="468">
        <f t="shared" si="10"/>
        <v>2.4823918025123039E-2</v>
      </c>
      <c r="G62" s="439">
        <f t="shared" si="11"/>
        <v>0.97517608197487693</v>
      </c>
      <c r="H62" s="465">
        <f t="shared" si="12"/>
        <v>2.4823918025123039E-2</v>
      </c>
    </row>
    <row r="63" spans="2:8" ht="18.75">
      <c r="B63" s="423" t="s">
        <v>2</v>
      </c>
      <c r="C63" s="476">
        <v>6935.9</v>
      </c>
      <c r="D63" s="477">
        <v>6949.8817068831067</v>
      </c>
      <c r="E63" s="456">
        <f t="shared" si="9"/>
        <v>13.981706883107108</v>
      </c>
      <c r="F63" s="468">
        <f t="shared" si="10"/>
        <v>7.9804263031433183E-3</v>
      </c>
      <c r="G63" s="439">
        <f t="shared" si="11"/>
        <v>0.9671956556717336</v>
      </c>
      <c r="H63" s="465">
        <f t="shared" si="12"/>
        <v>3.2804344328266358E-2</v>
      </c>
    </row>
    <row r="64" spans="2:8" ht="18.75">
      <c r="B64" s="423" t="s">
        <v>5</v>
      </c>
      <c r="C64" s="476">
        <v>6703.6</v>
      </c>
      <c r="D64" s="477">
        <v>6734.1078409463089</v>
      </c>
      <c r="E64" s="456">
        <f t="shared" si="9"/>
        <v>30.507840946308534</v>
      </c>
      <c r="F64" s="468">
        <f t="shared" si="10"/>
        <v>1.7413151225061929E-2</v>
      </c>
      <c r="G64" s="439">
        <f t="shared" si="11"/>
        <v>0.94978250444667167</v>
      </c>
      <c r="H64" s="465">
        <f t="shared" si="12"/>
        <v>5.0217495553328287E-2</v>
      </c>
    </row>
    <row r="65" spans="2:8" ht="18.75">
      <c r="B65" s="423" t="s">
        <v>7</v>
      </c>
      <c r="C65" s="476">
        <v>7302.8</v>
      </c>
      <c r="D65" s="477">
        <v>7513.2117309621126</v>
      </c>
      <c r="E65" s="456">
        <f t="shared" si="9"/>
        <v>210.41173096211241</v>
      </c>
      <c r="F65" s="468">
        <f t="shared" si="10"/>
        <v>0.12009801995554349</v>
      </c>
      <c r="G65" s="439">
        <f t="shared" si="11"/>
        <v>0.82968448449112819</v>
      </c>
      <c r="H65" s="465">
        <f t="shared" si="12"/>
        <v>0.17031551550887178</v>
      </c>
    </row>
    <row r="66" spans="2:8" ht="18.75">
      <c r="B66" s="423" t="s">
        <v>8</v>
      </c>
      <c r="C66" s="476">
        <v>7245.6</v>
      </c>
      <c r="D66" s="477">
        <v>7775.2890138066805</v>
      </c>
      <c r="E66" s="456">
        <f t="shared" si="9"/>
        <v>529.68901380668012</v>
      </c>
      <c r="F66" s="468">
        <f t="shared" si="10"/>
        <v>0.30233391199011389</v>
      </c>
      <c r="G66" s="439">
        <f t="shared" si="11"/>
        <v>0.52735057250101436</v>
      </c>
      <c r="H66" s="465">
        <f t="shared" si="12"/>
        <v>0.47264942749898564</v>
      </c>
    </row>
    <row r="67" spans="2:8" ht="18.75">
      <c r="B67" s="423" t="s">
        <v>9</v>
      </c>
      <c r="C67" s="476">
        <v>7325</v>
      </c>
      <c r="D67" s="477">
        <v>7946.9947962432298</v>
      </c>
      <c r="E67" s="456">
        <f>D67-C67</f>
        <v>621.99479624322976</v>
      </c>
      <c r="F67" s="468">
        <f t="shared" si="10"/>
        <v>0.355019860869423</v>
      </c>
      <c r="G67" s="439">
        <f t="shared" si="11"/>
        <v>0.17233071163159136</v>
      </c>
      <c r="H67" s="465">
        <f t="shared" si="12"/>
        <v>0.8276692883684087</v>
      </c>
    </row>
    <row r="68" spans="2:8" ht="18.75">
      <c r="B68" s="423" t="s">
        <v>10</v>
      </c>
      <c r="C68" s="476">
        <v>7262.5</v>
      </c>
      <c r="D68" s="477">
        <v>7506.557590798393</v>
      </c>
      <c r="E68" s="456">
        <f t="shared" si="9"/>
        <v>244.05759079839299</v>
      </c>
      <c r="F68" s="468">
        <f t="shared" si="10"/>
        <v>0.1393022778529639</v>
      </c>
      <c r="G68" s="439">
        <f t="shared" si="11"/>
        <v>3.3028433778627464E-2</v>
      </c>
      <c r="H68" s="465">
        <f t="shared" si="12"/>
        <v>0.96697156622137259</v>
      </c>
    </row>
    <row r="69" spans="2:8" ht="19.5" thickBot="1">
      <c r="B69" s="424" t="s">
        <v>11</v>
      </c>
      <c r="C69" s="478">
        <v>6053.8</v>
      </c>
      <c r="D69" s="479">
        <v>6111.6658159801555</v>
      </c>
      <c r="E69" s="458">
        <f t="shared" si="9"/>
        <v>57.865815980155276</v>
      </c>
      <c r="F69" s="469">
        <f t="shared" si="10"/>
        <v>3.3028433778627408E-2</v>
      </c>
      <c r="G69" s="466">
        <f t="shared" si="11"/>
        <v>5.5511151231257827E-17</v>
      </c>
      <c r="H69" s="467">
        <f>H68+F69</f>
        <v>1</v>
      </c>
    </row>
    <row r="70" spans="2:8" ht="18.75">
      <c r="D70" s="431" t="s">
        <v>232</v>
      </c>
      <c r="E70" s="480">
        <f>SUM(E58:E69)</f>
        <v>1752.0000000000018</v>
      </c>
      <c r="G70" s="431" t="s">
        <v>220</v>
      </c>
      <c r="H70" s="481">
        <f>SUM(H63:H68)</f>
        <v>2.5206276374792331</v>
      </c>
    </row>
  </sheetData>
  <sheetProtection algorithmName="SHA-512" hashValue="WEagPv9a9yGTiyulxvU7AejszISnV2utbgvzpt8Yka1zZMCfo3og9mh18XmKKJNB00Fqt6ostikLm/M0trEhQA==" saltValue="GP6YpHjqfhUtHU+XYaF1Gw==" spinCount="100000"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9"/>
  <sheetViews>
    <sheetView tabSelected="1" topLeftCell="A7" zoomScale="70" zoomScaleNormal="70" workbookViewId="0">
      <selection activeCell="C7" sqref="C7:D7"/>
    </sheetView>
  </sheetViews>
  <sheetFormatPr defaultRowHeight="15"/>
  <cols>
    <col min="1" max="1" width="5.5703125" customWidth="1"/>
    <col min="2" max="2" width="24.7109375" customWidth="1"/>
    <col min="3" max="3" width="13.5703125" customWidth="1"/>
    <col min="4" max="4" width="15.5703125" customWidth="1"/>
    <col min="5" max="5" width="13.42578125" customWidth="1"/>
    <col min="6" max="6" width="13.85546875" customWidth="1"/>
    <col min="7" max="7" width="13.7109375" customWidth="1"/>
    <col min="8" max="8" width="20.140625" bestFit="1" customWidth="1"/>
    <col min="9" max="9" width="13.5703125" customWidth="1"/>
    <col min="10" max="15" width="12.7109375" customWidth="1"/>
  </cols>
  <sheetData>
    <row r="1" spans="2:12" ht="18.75">
      <c r="B1" s="428" t="s">
        <v>206</v>
      </c>
    </row>
    <row r="4" spans="2:12" ht="18.75">
      <c r="B4" s="408" t="s">
        <v>192</v>
      </c>
      <c r="C4" s="409"/>
      <c r="D4" s="409"/>
      <c r="E4" s="409"/>
      <c r="F4" s="409"/>
      <c r="G4" s="409"/>
      <c r="H4" s="409"/>
    </row>
    <row r="5" spans="2:12" ht="19.5" thickBot="1">
      <c r="B5" s="409"/>
      <c r="C5" s="409"/>
      <c r="D5" s="409"/>
      <c r="E5" s="409"/>
      <c r="F5" s="409"/>
      <c r="G5" s="409"/>
      <c r="H5" s="409"/>
    </row>
    <row r="6" spans="2:12" ht="37.5">
      <c r="B6" s="410" t="s">
        <v>191</v>
      </c>
      <c r="C6" s="495" t="s">
        <v>199</v>
      </c>
      <c r="D6" s="496"/>
      <c r="E6" s="411" t="s">
        <v>200</v>
      </c>
      <c r="F6" s="411" t="s">
        <v>184</v>
      </c>
      <c r="G6" s="427" t="s">
        <v>204</v>
      </c>
    </row>
    <row r="7" spans="2:12" ht="18.75">
      <c r="B7" s="412" t="s">
        <v>201</v>
      </c>
      <c r="C7" s="497" t="s">
        <v>193</v>
      </c>
      <c r="D7" s="498"/>
      <c r="E7" s="470">
        <v>0</v>
      </c>
      <c r="F7" s="470">
        <v>0</v>
      </c>
      <c r="G7" s="413">
        <f>IF(E7=0, 0, E7/F7/62.4)</f>
        <v>0</v>
      </c>
    </row>
    <row r="8" spans="2:12" ht="18.75">
      <c r="B8" s="412" t="s">
        <v>203</v>
      </c>
      <c r="C8" s="493" t="s">
        <v>193</v>
      </c>
      <c r="D8" s="494"/>
      <c r="E8" s="487">
        <v>1492</v>
      </c>
      <c r="F8" s="472">
        <v>2.7450000000000001</v>
      </c>
      <c r="G8" s="413">
        <f>IF(E8=0, 0, E8/F8/62.4)</f>
        <v>8.7104759235906783</v>
      </c>
      <c r="H8" s="430"/>
      <c r="I8" s="409"/>
      <c r="J8" s="437"/>
    </row>
    <row r="9" spans="2:12" ht="18.75">
      <c r="B9" s="412" t="s">
        <v>202</v>
      </c>
      <c r="C9" s="493" t="s">
        <v>193</v>
      </c>
      <c r="D9" s="494"/>
      <c r="E9" s="487">
        <v>722</v>
      </c>
      <c r="F9" s="471">
        <v>2.72</v>
      </c>
      <c r="G9" s="413">
        <f t="shared" ref="G9:G10" si="0">IF(E9=0, 0, E9/F9/62.4)</f>
        <v>4.2538650075414779</v>
      </c>
      <c r="H9" s="436"/>
      <c r="I9" s="432"/>
      <c r="J9" s="437"/>
    </row>
    <row r="10" spans="2:12" ht="18.75">
      <c r="B10" s="412" t="s">
        <v>187</v>
      </c>
      <c r="C10" s="493" t="s">
        <v>194</v>
      </c>
      <c r="D10" s="494"/>
      <c r="E10" s="487">
        <v>1077</v>
      </c>
      <c r="F10" s="471">
        <v>2.65</v>
      </c>
      <c r="G10" s="413">
        <f t="shared" si="0"/>
        <v>6.5130624092888247</v>
      </c>
      <c r="H10" s="430"/>
      <c r="I10" s="433"/>
      <c r="J10" s="437"/>
    </row>
    <row r="11" spans="2:12" ht="18.75">
      <c r="B11" s="412" t="s">
        <v>185</v>
      </c>
      <c r="C11" s="493" t="s">
        <v>195</v>
      </c>
      <c r="D11" s="494"/>
      <c r="E11" s="487">
        <v>376</v>
      </c>
      <c r="F11" s="416">
        <v>3.15</v>
      </c>
      <c r="G11" s="413">
        <f>IF(E11=0, 0, E11/F11/62.4)</f>
        <v>1.9129019129019129</v>
      </c>
      <c r="H11" s="430"/>
      <c r="I11" s="437"/>
      <c r="J11" s="437"/>
    </row>
    <row r="12" spans="2:12" ht="18.75">
      <c r="B12" s="412" t="s">
        <v>34</v>
      </c>
      <c r="C12" s="493" t="s">
        <v>196</v>
      </c>
      <c r="D12" s="494"/>
      <c r="E12" s="487">
        <v>94</v>
      </c>
      <c r="F12" s="471">
        <v>2.5</v>
      </c>
      <c r="G12" s="413">
        <f>IF(E12=0, 0, E12/F12/62.4)</f>
        <v>0.60256410256410264</v>
      </c>
    </row>
    <row r="13" spans="2:12" ht="18.75">
      <c r="B13" s="412" t="s">
        <v>236</v>
      </c>
      <c r="C13" s="493"/>
      <c r="D13" s="494"/>
      <c r="E13" s="472"/>
      <c r="F13" s="414"/>
      <c r="G13" s="413">
        <f>IF(E13=0, 0, E13/F13/62.4)</f>
        <v>0</v>
      </c>
    </row>
    <row r="14" spans="2:12" ht="18.75">
      <c r="B14" s="412" t="s">
        <v>186</v>
      </c>
      <c r="C14" s="493"/>
      <c r="D14" s="494"/>
      <c r="E14" s="471">
        <v>211.5</v>
      </c>
      <c r="F14" s="416">
        <v>1</v>
      </c>
      <c r="G14" s="413">
        <f>E14/F14/62.4</f>
        <v>3.3894230769230771</v>
      </c>
    </row>
    <row r="15" spans="2:12" ht="19.5" thickBot="1">
      <c r="B15" s="417" t="s">
        <v>188</v>
      </c>
      <c r="C15" s="489">
        <v>0.06</v>
      </c>
      <c r="D15" s="490"/>
      <c r="E15" s="425"/>
      <c r="F15" s="438"/>
      <c r="G15" s="418">
        <f>27*C15</f>
        <v>1.6199999999999999</v>
      </c>
    </row>
    <row r="16" spans="2:12" ht="18.75">
      <c r="B16" s="419" t="s">
        <v>66</v>
      </c>
      <c r="C16" s="483"/>
      <c r="D16" s="483"/>
      <c r="E16" s="484">
        <f>SUM(E7:E14)</f>
        <v>3972.5</v>
      </c>
      <c r="F16" s="462" t="s">
        <v>207</v>
      </c>
      <c r="G16" s="480">
        <f>SUM(G7:G15)</f>
        <v>27.002292432810073</v>
      </c>
      <c r="H16" s="409" t="s">
        <v>224</v>
      </c>
      <c r="I16" s="409"/>
      <c r="J16" s="415"/>
      <c r="K16" s="409"/>
      <c r="L16" s="409"/>
    </row>
    <row r="17" spans="2:12" ht="18.75">
      <c r="B17" s="408"/>
      <c r="C17" s="409"/>
      <c r="D17" s="409"/>
      <c r="E17" s="482">
        <f>E16/G16</f>
        <v>147.11713866090406</v>
      </c>
      <c r="F17" s="463" t="s">
        <v>208</v>
      </c>
      <c r="G17" s="409"/>
      <c r="I17" s="409"/>
      <c r="J17" s="409"/>
      <c r="K17" s="409"/>
      <c r="L17" s="409"/>
    </row>
    <row r="18" spans="2:12" ht="18.75">
      <c r="B18" s="408" t="s">
        <v>227</v>
      </c>
      <c r="C18" s="409"/>
      <c r="D18" s="409"/>
      <c r="E18" s="429"/>
      <c r="F18" s="430"/>
      <c r="G18" s="409"/>
      <c r="I18" s="409"/>
      <c r="J18" s="409"/>
      <c r="K18" s="409"/>
      <c r="L18" s="409"/>
    </row>
    <row r="19" spans="2:12" ht="19.5" thickBot="1">
      <c r="B19" s="408"/>
      <c r="C19" s="409"/>
      <c r="D19" s="409"/>
      <c r="E19" s="429"/>
      <c r="F19" s="430"/>
      <c r="G19" s="409"/>
      <c r="I19" s="409"/>
      <c r="J19" s="409"/>
      <c r="K19" s="409"/>
      <c r="L19" s="409"/>
    </row>
    <row r="20" spans="2:12" ht="18.75">
      <c r="B20" s="447" t="s">
        <v>225</v>
      </c>
      <c r="C20" s="448" t="s">
        <v>226</v>
      </c>
      <c r="D20" s="409"/>
      <c r="E20" s="429"/>
      <c r="F20" s="430"/>
      <c r="G20" s="409"/>
      <c r="I20" s="409"/>
      <c r="J20" s="409"/>
      <c r="K20" s="409"/>
      <c r="L20" s="409"/>
    </row>
    <row r="21" spans="2:12" ht="18.75">
      <c r="B21" s="440" t="s">
        <v>215</v>
      </c>
      <c r="C21" s="441">
        <f>E14/(E11+E12)</f>
        <v>0.45</v>
      </c>
      <c r="D21" s="437"/>
      <c r="E21" s="429"/>
      <c r="F21" s="430"/>
      <c r="G21" s="409"/>
      <c r="I21" s="409"/>
      <c r="J21" s="409"/>
      <c r="K21" s="409"/>
      <c r="L21" s="409"/>
    </row>
    <row r="22" spans="2:12" ht="18.75">
      <c r="B22" s="442" t="s">
        <v>221</v>
      </c>
      <c r="C22" s="443">
        <f>(E12+E13)/(E11+E12+E13)</f>
        <v>0.2</v>
      </c>
      <c r="D22" s="437"/>
      <c r="E22" s="429"/>
      <c r="F22" s="430"/>
      <c r="G22" s="409"/>
      <c r="I22" s="409"/>
      <c r="J22" s="409"/>
      <c r="K22" s="409"/>
      <c r="L22" s="409"/>
    </row>
    <row r="23" spans="2:12" ht="18.75">
      <c r="B23" s="440" t="s">
        <v>216</v>
      </c>
      <c r="C23" s="444">
        <f>E12+E11+E13</f>
        <v>470</v>
      </c>
      <c r="D23" s="437" t="s">
        <v>218</v>
      </c>
      <c r="E23" s="429"/>
      <c r="F23" s="430"/>
      <c r="G23" s="409"/>
      <c r="I23" s="409"/>
      <c r="J23" s="409"/>
      <c r="K23" s="409"/>
      <c r="L23" s="409"/>
    </row>
    <row r="24" spans="2:12" ht="19.5" thickBot="1">
      <c r="B24" s="445" t="s">
        <v>217</v>
      </c>
      <c r="C24" s="446">
        <f>C23/94</f>
        <v>5</v>
      </c>
      <c r="D24" s="437" t="s">
        <v>219</v>
      </c>
      <c r="E24" s="429"/>
      <c r="F24" s="430"/>
      <c r="G24" s="409"/>
      <c r="I24" s="409"/>
      <c r="J24" s="409"/>
      <c r="K24" s="409"/>
      <c r="L24" s="409"/>
    </row>
    <row r="25" spans="2:12" ht="18.75">
      <c r="I25" s="409"/>
      <c r="J25" s="409"/>
      <c r="K25" s="409"/>
      <c r="L25" s="409"/>
    </row>
    <row r="26" spans="2:12" ht="18.75">
      <c r="B26" s="408" t="s">
        <v>209</v>
      </c>
      <c r="C26" s="409"/>
      <c r="D26" s="409"/>
      <c r="I26" s="409"/>
      <c r="J26" s="409"/>
      <c r="K26" s="409"/>
      <c r="L26" s="409"/>
    </row>
    <row r="27" spans="2:12" ht="19.5" thickBot="1">
      <c r="I27" s="409"/>
      <c r="J27" s="409"/>
      <c r="K27" s="409"/>
      <c r="L27" s="409"/>
    </row>
    <row r="28" spans="2:12" ht="18.75">
      <c r="B28" s="447" t="s">
        <v>223</v>
      </c>
      <c r="C28" s="491" t="s">
        <v>210</v>
      </c>
      <c r="D28" s="491"/>
      <c r="E28" s="491" t="s">
        <v>222</v>
      </c>
      <c r="F28" s="500"/>
      <c r="I28" s="409"/>
      <c r="J28" s="409"/>
      <c r="K28" s="409"/>
      <c r="L28" s="409"/>
    </row>
    <row r="29" spans="2:12" ht="18.75">
      <c r="B29" s="449" t="s">
        <v>211</v>
      </c>
      <c r="C29" s="492"/>
      <c r="D29" s="492"/>
      <c r="E29" s="492"/>
      <c r="F29" s="501"/>
      <c r="I29" s="409"/>
      <c r="J29" s="409"/>
      <c r="K29" s="409"/>
      <c r="L29" s="409"/>
    </row>
    <row r="30" spans="2:12" ht="18.75">
      <c r="B30" s="449" t="s">
        <v>212</v>
      </c>
      <c r="C30" s="492"/>
      <c r="D30" s="492"/>
      <c r="E30" s="492"/>
      <c r="F30" s="501"/>
      <c r="I30" s="409"/>
      <c r="J30" s="409"/>
      <c r="K30" s="409"/>
      <c r="L30" s="409"/>
    </row>
    <row r="31" spans="2:12" ht="18.75" customHeight="1">
      <c r="B31" s="449" t="s">
        <v>213</v>
      </c>
      <c r="C31" s="492"/>
      <c r="D31" s="492"/>
      <c r="E31" s="492"/>
      <c r="F31" s="501"/>
      <c r="I31" s="409"/>
      <c r="J31" s="409"/>
      <c r="K31" s="409"/>
      <c r="L31" s="409"/>
    </row>
    <row r="32" spans="2:12" ht="20.100000000000001" customHeight="1" thickBot="1">
      <c r="B32" s="450" t="s">
        <v>214</v>
      </c>
      <c r="C32" s="502"/>
      <c r="D32" s="502"/>
      <c r="E32" s="502"/>
      <c r="F32" s="503"/>
      <c r="I32" s="409"/>
      <c r="J32" s="415"/>
      <c r="K32" s="409"/>
      <c r="L32" s="409"/>
    </row>
    <row r="33" spans="2:19" ht="20.100000000000001" customHeight="1">
      <c r="I33" s="409"/>
      <c r="J33" s="415"/>
      <c r="K33" s="409"/>
      <c r="L33" s="409"/>
    </row>
    <row r="34" spans="2:19" ht="18.75">
      <c r="B34" s="408" t="s">
        <v>189</v>
      </c>
      <c r="C34" s="409"/>
      <c r="D34" s="409"/>
      <c r="E34" s="435"/>
      <c r="F34" s="409"/>
      <c r="G34" s="409"/>
      <c r="H34" s="409"/>
      <c r="I34" s="409"/>
      <c r="J34" s="409"/>
      <c r="K34" s="409"/>
      <c r="L34" s="409"/>
      <c r="P34" s="12"/>
      <c r="Q34" s="12"/>
      <c r="R34" s="12"/>
      <c r="S34" s="12"/>
    </row>
    <row r="35" spans="2:19" ht="19.5" thickBot="1">
      <c r="B35" s="409"/>
      <c r="C35" s="409"/>
      <c r="D35" s="409"/>
      <c r="E35" s="409"/>
      <c r="F35" s="409"/>
      <c r="G35" s="409"/>
      <c r="H35" s="415"/>
      <c r="I35" s="409"/>
      <c r="J35" s="409"/>
      <c r="K35" s="409"/>
      <c r="L35" s="409"/>
      <c r="P35" s="12"/>
      <c r="Q35" s="12"/>
      <c r="R35" s="12"/>
      <c r="S35" s="12"/>
    </row>
    <row r="36" spans="2:19" ht="56.25">
      <c r="B36" s="451" t="s">
        <v>16</v>
      </c>
      <c r="C36" s="453" t="s">
        <v>190</v>
      </c>
      <c r="D36" s="453" t="s">
        <v>205</v>
      </c>
      <c r="E36" s="453" t="s">
        <v>197</v>
      </c>
      <c r="F36" s="454" t="s">
        <v>198</v>
      </c>
      <c r="P36" s="12"/>
      <c r="Q36" s="12"/>
      <c r="R36" s="12"/>
      <c r="S36" s="12"/>
    </row>
    <row r="37" spans="2:19" ht="18.75">
      <c r="B37" s="420" t="s">
        <v>0</v>
      </c>
      <c r="C37" s="421">
        <f>('Sieve Analysis'!G7*$G$7/(SUM($G$7:$G$10)))+('Sieve Analysis'!G24*$G$8/(SUM($G$7:$G$10)))+('Sieve Analysis'!G41*$G$9/(SUM($G$7:$G$10)))+('Sieve Analysis'!G58*$G$10/(SUM($G$7:$G$10)))</f>
        <v>1</v>
      </c>
      <c r="D37" s="421">
        <f>IF($C$37=0, 0,1-C37)</f>
        <v>0</v>
      </c>
      <c r="E37" s="421">
        <v>0</v>
      </c>
      <c r="F37" s="422">
        <v>0</v>
      </c>
      <c r="G37" s="461" t="str">
        <f>IF(AND(F37&lt;=D37,D37&lt;=E37),"YES","NO")</f>
        <v>YES</v>
      </c>
      <c r="P37" s="12"/>
      <c r="Q37" s="12"/>
      <c r="R37" s="12"/>
      <c r="S37" s="12"/>
    </row>
    <row r="38" spans="2:19" ht="18.75">
      <c r="B38" s="423" t="s">
        <v>3</v>
      </c>
      <c r="C38" s="421">
        <f>('Sieve Analysis'!G8*$G$7/(SUM($G$7:$G$10)))+('Sieve Analysis'!G25*$G$8/(SUM($G$7:$G$10)))+('Sieve Analysis'!G42*$G$9/(SUM($G$7:$G$10)))+('Sieve Analysis'!G59*$G$10/(SUM($G$7:$G$10)))</f>
        <v>0.97075251174674737</v>
      </c>
      <c r="D38" s="421">
        <f>IF($C$37=0, 0, C37-C38)</f>
        <v>2.9247488253252629E-2</v>
      </c>
      <c r="E38" s="421">
        <v>0.16</v>
      </c>
      <c r="F38" s="422">
        <v>0</v>
      </c>
      <c r="G38" s="461" t="str">
        <f>IF(AND(F38&lt;=D38,D38&lt;=E38),"YES","NO")</f>
        <v>YES</v>
      </c>
      <c r="M38" s="12"/>
      <c r="N38" s="12"/>
      <c r="O38" s="12"/>
      <c r="P38" s="12"/>
      <c r="Q38" s="12"/>
      <c r="R38" s="12"/>
      <c r="S38" s="12"/>
    </row>
    <row r="39" spans="2:19" ht="18.75">
      <c r="B39" s="423" t="s">
        <v>6</v>
      </c>
      <c r="C39" s="421">
        <f>('Sieve Analysis'!G9*$G$7/(SUM($G$7:$G$10)))+('Sieve Analysis'!G26*$G$8/(SUM($G$7:$G$10)))+('Sieve Analysis'!G43*$G$9/(SUM($G$7:$G$10)))+('Sieve Analysis'!G60*$G$10/(SUM($G$7:$G$10)))</f>
        <v>0.80331734963638324</v>
      </c>
      <c r="D39" s="421">
        <f t="shared" ref="D39:D48" si="1">IF($C$37=0, 0, C38-C39)</f>
        <v>0.16743516211036413</v>
      </c>
      <c r="E39" s="421">
        <v>0.2</v>
      </c>
      <c r="F39" s="422">
        <v>0</v>
      </c>
      <c r="G39" s="461" t="str">
        <f t="shared" ref="G39:G48" si="2">IF(AND(F39&lt;=D39,D39&lt;=E39),"YES","NO")</f>
        <v>YES</v>
      </c>
      <c r="M39" s="12"/>
      <c r="N39" s="12"/>
      <c r="O39" s="12"/>
      <c r="P39" s="12"/>
      <c r="Q39" s="12"/>
      <c r="R39" s="12"/>
      <c r="S39" s="12"/>
    </row>
    <row r="40" spans="2:19" ht="20.25" customHeight="1">
      <c r="B40" s="423" t="s">
        <v>1</v>
      </c>
      <c r="C40" s="421">
        <f>('Sieve Analysis'!G10*$G$7/(SUM($G$7:$G$10)))+('Sieve Analysis'!G27*$G$8/(SUM($G$7:$G$10)))+('Sieve Analysis'!G44*$G$9/(SUM($G$7:$G$10)))+('Sieve Analysis'!G61*$G$10/(SUM($G$7:$G$10)))</f>
        <v>0.6522746381650828</v>
      </c>
      <c r="D40" s="421">
        <f t="shared" si="1"/>
        <v>0.15104271147130044</v>
      </c>
      <c r="E40" s="421">
        <v>0.2</v>
      </c>
      <c r="F40" s="422">
        <v>0.04</v>
      </c>
      <c r="G40" s="461" t="str">
        <f t="shared" si="2"/>
        <v>YES</v>
      </c>
      <c r="M40" s="12"/>
      <c r="N40" s="12"/>
      <c r="O40" s="12"/>
      <c r="P40" s="12"/>
      <c r="Q40" s="12"/>
      <c r="R40" s="12"/>
      <c r="S40" s="12"/>
    </row>
    <row r="41" spans="2:19" ht="18.75">
      <c r="B41" s="423" t="s">
        <v>4</v>
      </c>
      <c r="C41" s="421">
        <f>('Sieve Analysis'!G11*$G$7/(SUM($G$7:$G$10)))+('Sieve Analysis'!G28*$G$8/(SUM($G$7:$G$10)))+('Sieve Analysis'!G45*$G$9/(SUM($G$7:$G$10)))+('Sieve Analysis'!G62*$G$10/(SUM($G$7:$G$10)))</f>
        <v>0.57530445633613037</v>
      </c>
      <c r="D41" s="421">
        <f t="shared" si="1"/>
        <v>7.6970181828952433E-2</v>
      </c>
      <c r="E41" s="421">
        <v>0.2</v>
      </c>
      <c r="F41" s="422">
        <v>0.04</v>
      </c>
      <c r="G41" s="461" t="str">
        <f t="shared" si="2"/>
        <v>YES</v>
      </c>
      <c r="M41" s="12"/>
      <c r="N41" s="12"/>
      <c r="O41" s="12"/>
      <c r="P41" s="12"/>
      <c r="Q41" s="12"/>
      <c r="R41" s="12"/>
      <c r="S41" s="12"/>
    </row>
    <row r="42" spans="2:19" ht="18.75">
      <c r="B42" s="423" t="s">
        <v>2</v>
      </c>
      <c r="C42" s="421">
        <f>('Sieve Analysis'!G12*$G$7/(SUM($G$7:$G$10)))+('Sieve Analysis'!G29*$G$8/(SUM($G$7:$G$10)))+('Sieve Analysis'!G46*$G$9/(SUM($G$7:$G$10)))+('Sieve Analysis'!G63*$G$10/(SUM($G$7:$G$10)))</f>
        <v>0.43251726574921684</v>
      </c>
      <c r="D42" s="421">
        <f t="shared" si="1"/>
        <v>0.14278719058691353</v>
      </c>
      <c r="E42" s="421">
        <v>0.2</v>
      </c>
      <c r="F42" s="422">
        <v>0.04</v>
      </c>
      <c r="G42" s="461" t="str">
        <f t="shared" si="2"/>
        <v>YES</v>
      </c>
      <c r="M42" s="12"/>
      <c r="N42" s="12"/>
      <c r="O42" s="12"/>
      <c r="P42" s="12"/>
      <c r="Q42" s="12"/>
      <c r="R42" s="12"/>
      <c r="S42" s="12"/>
    </row>
    <row r="43" spans="2:19" ht="18.75">
      <c r="B43" s="423" t="s">
        <v>5</v>
      </c>
      <c r="C43" s="421">
        <f>('Sieve Analysis'!G13*$G$7/(SUM($G$7:$G$10)))+('Sieve Analysis'!G30*$G$8/(SUM($G$7:$G$10)))+('Sieve Analysis'!G47*$G$9/(SUM($G$7:$G$10)))+('Sieve Analysis'!G64*$G$10/(SUM($G$7:$G$10)))</f>
        <v>0.34755556536042309</v>
      </c>
      <c r="D43" s="421">
        <f t="shared" si="1"/>
        <v>8.4961700388793748E-2</v>
      </c>
      <c r="E43" s="421">
        <v>0.12</v>
      </c>
      <c r="F43" s="422">
        <v>0</v>
      </c>
      <c r="G43" s="461" t="str">
        <f t="shared" si="2"/>
        <v>YES</v>
      </c>
      <c r="M43" s="12"/>
      <c r="N43" s="12"/>
      <c r="O43" s="12"/>
      <c r="P43" s="12"/>
      <c r="Q43" s="12"/>
      <c r="R43" s="12"/>
      <c r="S43" s="12"/>
    </row>
    <row r="44" spans="2:19" ht="18.75">
      <c r="B44" s="423" t="s">
        <v>7</v>
      </c>
      <c r="C44" s="421">
        <f>('Sieve Analysis'!G14*$G$7/(SUM($G$7:$G$10)))+('Sieve Analysis'!G31*$G$8/(SUM($G$7:$G$10)))+('Sieve Analysis'!G48*$G$9/(SUM($G$7:$G$10)))+('Sieve Analysis'!G65*$G$10/(SUM($G$7:$G$10)))</f>
        <v>0.28204081718738183</v>
      </c>
      <c r="D44" s="421">
        <f t="shared" si="1"/>
        <v>6.551474817304126E-2</v>
      </c>
      <c r="E44" s="421">
        <v>0.12</v>
      </c>
      <c r="F44" s="422">
        <v>0</v>
      </c>
      <c r="G44" s="461" t="str">
        <f t="shared" si="2"/>
        <v>YES</v>
      </c>
      <c r="M44" s="12"/>
      <c r="N44" s="12"/>
      <c r="O44" s="12"/>
      <c r="P44" s="12"/>
      <c r="Q44" s="12"/>
      <c r="R44" s="12"/>
      <c r="S44" s="12"/>
    </row>
    <row r="45" spans="2:19" ht="18.75">
      <c r="B45" s="423" t="s">
        <v>8</v>
      </c>
      <c r="C45" s="421">
        <f>('Sieve Analysis'!G15*$G$7/(SUM($G$7:$G$10)))+('Sieve Analysis'!G32*$G$8/(SUM($G$7:$G$10)))+('Sieve Analysis'!G49*$G$9/(SUM($G$7:$G$10)))+('Sieve Analysis'!G66*$G$10/(SUM($G$7:$G$10)))</f>
        <v>0.1763411236212076</v>
      </c>
      <c r="D45" s="421">
        <f t="shared" si="1"/>
        <v>0.10569969356617423</v>
      </c>
      <c r="E45" s="421">
        <v>0.2</v>
      </c>
      <c r="F45" s="422">
        <v>0.04</v>
      </c>
      <c r="G45" s="461" t="str">
        <f t="shared" si="2"/>
        <v>YES</v>
      </c>
      <c r="M45" s="12"/>
      <c r="N45" s="12"/>
      <c r="O45" s="12"/>
      <c r="P45" s="12"/>
      <c r="Q45" s="12"/>
      <c r="R45" s="12"/>
      <c r="S45" s="12"/>
    </row>
    <row r="46" spans="2:19" ht="18.75">
      <c r="B46" s="423" t="s">
        <v>9</v>
      </c>
      <c r="C46" s="421">
        <f>('Sieve Analysis'!G16*$G$7/(SUM($G$7:$G$10)))+('Sieve Analysis'!G33*$G$8/(SUM($G$7:$G$10)))+('Sieve Analysis'!G50*$G$9/(SUM($G$7:$G$10)))+('Sieve Analysis'!G67*$G$10/(SUM($G$7:$G$10)))</f>
        <v>5.7625786162389503E-2</v>
      </c>
      <c r="D46" s="421">
        <f t="shared" si="1"/>
        <v>0.1187153374588181</v>
      </c>
      <c r="E46" s="421">
        <v>0.2</v>
      </c>
      <c r="F46" s="422">
        <v>0.04</v>
      </c>
      <c r="G46" s="461" t="str">
        <f t="shared" si="2"/>
        <v>YES</v>
      </c>
      <c r="M46" s="12"/>
      <c r="N46" s="12"/>
      <c r="O46" s="142"/>
      <c r="P46" s="142"/>
      <c r="Q46" s="12"/>
      <c r="R46" s="12"/>
      <c r="S46" s="12"/>
    </row>
    <row r="47" spans="2:19" ht="18.75">
      <c r="B47" s="423" t="s">
        <v>10</v>
      </c>
      <c r="C47" s="421">
        <f>('Sieve Analysis'!G17*$G$7/(SUM($G$7:$G$10)))+('Sieve Analysis'!G34*$G$8/(SUM($G$7:$G$10)))+('Sieve Analysis'!G51*$G$9/(SUM($G$7:$G$10)))+('Sieve Analysis'!G68*$G$10/(SUM($G$7:$G$10)))</f>
        <v>1.104440087426021E-2</v>
      </c>
      <c r="D47" s="421">
        <f t="shared" si="1"/>
        <v>4.6581385288129294E-2</v>
      </c>
      <c r="E47" s="421">
        <v>0.1</v>
      </c>
      <c r="F47" s="422">
        <v>0</v>
      </c>
      <c r="G47" s="461" t="str">
        <f t="shared" si="2"/>
        <v>YES</v>
      </c>
      <c r="M47" s="12"/>
      <c r="N47" s="12"/>
      <c r="O47" s="142"/>
      <c r="P47" s="142"/>
      <c r="Q47" s="12"/>
      <c r="R47" s="12"/>
      <c r="S47" s="12"/>
    </row>
    <row r="48" spans="2:19" ht="19.5" thickBot="1">
      <c r="B48" s="486" t="s">
        <v>12</v>
      </c>
      <c r="C48" s="425">
        <f>('Sieve Analysis'!G18*$G$7/(SUM($G$7:$G$10)))+('Sieve Analysis'!G35*$G$8/(SUM($G$7:$G$10)))+('Sieve Analysis'!G52*$G$9/(SUM($G$7:$G$10)))+('Sieve Analysis'!G69*$G$10/(SUM($G$7:$G$10)))</f>
        <v>4.1456744545735058E-17</v>
      </c>
      <c r="D48" s="425">
        <f t="shared" si="1"/>
        <v>1.1044400874260169E-2</v>
      </c>
      <c r="E48" s="425">
        <v>0.02</v>
      </c>
      <c r="F48" s="426">
        <v>0</v>
      </c>
      <c r="G48" s="461" t="str">
        <f t="shared" si="2"/>
        <v>YES</v>
      </c>
    </row>
    <row r="49" spans="2:12" ht="18.75">
      <c r="B49" s="409"/>
      <c r="C49" s="431" t="s">
        <v>19</v>
      </c>
      <c r="D49" s="485">
        <f>SUM(D37:D48)</f>
        <v>0.99999999999999989</v>
      </c>
      <c r="E49" s="409"/>
      <c r="F49" s="409"/>
      <c r="L49" s="409"/>
    </row>
    <row r="50" spans="2:12" ht="18.75">
      <c r="B50" s="409"/>
      <c r="C50" s="431"/>
      <c r="D50" s="488"/>
      <c r="E50" s="409"/>
      <c r="F50" s="409"/>
      <c r="L50" s="409"/>
    </row>
    <row r="51" spans="2:12" ht="18.75">
      <c r="B51" s="504" t="s">
        <v>239</v>
      </c>
      <c r="C51" s="504"/>
      <c r="D51" s="464">
        <f>SUM(D43:D45)</f>
        <v>0.25617614212800921</v>
      </c>
      <c r="E51" s="461" t="str">
        <f>IF(D51&gt;=0.15,"YES","NO")</f>
        <v>YES</v>
      </c>
      <c r="F51" s="409"/>
      <c r="L51" s="409"/>
    </row>
    <row r="52" spans="2:12" ht="18.75">
      <c r="B52" s="499" t="s">
        <v>238</v>
      </c>
      <c r="C52" s="499"/>
      <c r="D52" s="499"/>
      <c r="G52" s="435"/>
      <c r="H52" s="409"/>
      <c r="I52" s="409"/>
      <c r="J52" s="409"/>
      <c r="L52" s="409"/>
    </row>
    <row r="53" spans="2:12" ht="18.75">
      <c r="B53" s="504" t="s">
        <v>233</v>
      </c>
      <c r="C53" s="504"/>
      <c r="D53" s="464">
        <f>SUM(D45:D48)</f>
        <v>0.28204081718738178</v>
      </c>
      <c r="E53" s="461" t="str">
        <f>IF(AND(0.24&lt;=D53, D53&lt;=0.34),"YES","NO")</f>
        <v>YES</v>
      </c>
      <c r="H53" s="409"/>
      <c r="I53" s="409"/>
      <c r="J53" s="409"/>
      <c r="K53" s="409"/>
      <c r="L53" s="409"/>
    </row>
    <row r="54" spans="2:12" ht="15.75">
      <c r="B54" s="499" t="s">
        <v>237</v>
      </c>
      <c r="C54" s="499"/>
      <c r="D54" s="499"/>
    </row>
    <row r="57" spans="2:12">
      <c r="D57" s="12"/>
      <c r="E57" s="404"/>
      <c r="F57" s="12"/>
      <c r="G57" s="12"/>
      <c r="H57" s="12"/>
      <c r="L57" s="434"/>
    </row>
    <row r="58" spans="2:12">
      <c r="D58" s="12"/>
      <c r="E58" s="12"/>
      <c r="F58" s="12"/>
      <c r="G58" s="12"/>
      <c r="H58" s="12"/>
    </row>
    <row r="59" spans="2:12">
      <c r="D59" s="12"/>
      <c r="E59" s="12"/>
      <c r="F59" s="12"/>
      <c r="G59" s="12"/>
      <c r="H59" s="12"/>
    </row>
  </sheetData>
  <sheetProtection algorithmName="SHA-512" hashValue="/kRDD6/BPfxLf4q2ihXWHXoZre3AkIgcNQvtuB7wMt4J2juWucLxeuHWryL1COeOT9ABYFI0Z40LSQKtUIPMjw==" saltValue="b7bYCioVGTd1O1tWfhBVRA==" spinCount="100000" sheet="1" objects="1" scenarios="1" selectLockedCells="1"/>
  <mergeCells count="24">
    <mergeCell ref="B54:D54"/>
    <mergeCell ref="E28:F28"/>
    <mergeCell ref="E29:F29"/>
    <mergeCell ref="E30:F30"/>
    <mergeCell ref="E31:F31"/>
    <mergeCell ref="E32:F32"/>
    <mergeCell ref="B53:C53"/>
    <mergeCell ref="C32:D32"/>
    <mergeCell ref="B51:C51"/>
    <mergeCell ref="B52:D52"/>
    <mergeCell ref="C14:D14"/>
    <mergeCell ref="C6:D6"/>
    <mergeCell ref="C7:D7"/>
    <mergeCell ref="C8:D8"/>
    <mergeCell ref="C9:D9"/>
    <mergeCell ref="C10:D10"/>
    <mergeCell ref="C11:D11"/>
    <mergeCell ref="C12:D12"/>
    <mergeCell ref="C13:D13"/>
    <mergeCell ref="C15:D15"/>
    <mergeCell ref="C28:D28"/>
    <mergeCell ref="C29:D29"/>
    <mergeCell ref="C30:D30"/>
    <mergeCell ref="C31:D3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G283"/>
  <sheetViews>
    <sheetView topLeftCell="A7" zoomScale="90" zoomScaleNormal="90" workbookViewId="0">
      <selection activeCell="A3" sqref="A3:M32"/>
    </sheetView>
  </sheetViews>
  <sheetFormatPr defaultRowHeight="15"/>
  <cols>
    <col min="1" max="1" width="15.85546875" customWidth="1"/>
    <col min="2" max="2" width="12.5703125" customWidth="1"/>
    <col min="3" max="3" width="11.85546875" customWidth="1"/>
    <col min="4" max="4" width="14.140625" customWidth="1"/>
    <col min="5" max="5" width="16.28515625" customWidth="1"/>
    <col min="6" max="7" width="10" customWidth="1"/>
    <col min="9" max="9" width="12.7109375" customWidth="1"/>
    <col min="10" max="11" width="12.85546875" customWidth="1"/>
    <col min="12" max="12" width="10.7109375" customWidth="1"/>
    <col min="14" max="14" width="19.42578125" bestFit="1" customWidth="1"/>
    <col min="18" max="18" width="14" customWidth="1"/>
    <col min="22" max="22" width="11.140625" customWidth="1"/>
    <col min="26" max="26" width="12.42578125" customWidth="1"/>
    <col min="27" max="27" width="12.7109375" customWidth="1"/>
    <col min="28" max="28" width="16.7109375" customWidth="1"/>
    <col min="29" max="29" width="10.42578125" bestFit="1" customWidth="1"/>
    <col min="32" max="32" width="15.42578125" customWidth="1"/>
    <col min="33" max="33" width="13.28515625" customWidth="1"/>
    <col min="34" max="34" width="10.85546875" customWidth="1"/>
    <col min="35" max="35" width="10.5703125" customWidth="1"/>
    <col min="36" max="36" width="12" customWidth="1"/>
    <col min="37" max="37" width="10.140625" customWidth="1"/>
    <col min="39" max="39" width="15.7109375" customWidth="1"/>
    <col min="40" max="40" width="12.28515625" customWidth="1"/>
    <col min="41" max="41" width="13.7109375" customWidth="1"/>
    <col min="42" max="42" width="12.140625" bestFit="1" customWidth="1"/>
    <col min="43" max="43" width="9.140625" customWidth="1"/>
    <col min="50" max="50" width="15.28515625" customWidth="1"/>
    <col min="62" max="62" width="19.140625" customWidth="1"/>
    <col min="64" max="64" width="11.140625" customWidth="1"/>
    <col min="66" max="66" width="10.42578125" customWidth="1"/>
    <col min="67" max="67" width="14" customWidth="1"/>
    <col min="69" max="69" width="15.28515625" customWidth="1"/>
    <col min="71" max="71" width="12.85546875" customWidth="1"/>
    <col min="72" max="72" width="10.7109375" customWidth="1"/>
    <col min="73" max="73" width="11.5703125" customWidth="1"/>
    <col min="74" max="74" width="10.7109375" customWidth="1"/>
    <col min="75" max="75" width="17.85546875" customWidth="1"/>
    <col min="76" max="76" width="11.42578125" customWidth="1"/>
    <col min="77" max="77" width="13.28515625" customWidth="1"/>
    <col min="78" max="78" width="12.140625" customWidth="1"/>
    <col min="79" max="79" width="13.28515625" customWidth="1"/>
  </cols>
  <sheetData>
    <row r="1" spans="14:111" ht="18.75" thickBot="1">
      <c r="Q1" s="376"/>
      <c r="R1" s="299"/>
      <c r="S1" s="149"/>
      <c r="T1" s="56"/>
      <c r="U1" s="376"/>
      <c r="V1" s="299"/>
      <c r="W1" s="407"/>
      <c r="Z1" s="60"/>
      <c r="BH1" s="93"/>
      <c r="BI1" s="90"/>
      <c r="BJ1" s="90"/>
      <c r="BK1" s="90"/>
      <c r="BL1" s="179"/>
      <c r="BM1" s="151"/>
      <c r="BN1" s="151"/>
      <c r="BO1" s="151"/>
      <c r="BP1" s="151"/>
      <c r="BQ1" s="151"/>
      <c r="BR1" s="404"/>
      <c r="BS1" s="405"/>
      <c r="BT1" s="82"/>
      <c r="BU1" s="406"/>
      <c r="BX1" s="391" t="s">
        <v>11</v>
      </c>
      <c r="BY1" s="389">
        <v>1.021405182655144E-14</v>
      </c>
      <c r="BZ1" s="389">
        <v>4.4408920985006262E-15</v>
      </c>
      <c r="CA1" s="389">
        <v>0</v>
      </c>
      <c r="CB1" s="387">
        <f>AVERAGE(BY1:CA1)</f>
        <v>4.8849813083506888E-15</v>
      </c>
      <c r="CC1" s="387">
        <f>STDEV(BY1:CA1)</f>
        <v>5.121486610213742E-15</v>
      </c>
    </row>
    <row r="2" spans="14:111" ht="16.5" thickTop="1">
      <c r="Q2" s="376"/>
      <c r="R2" s="299"/>
      <c r="S2" s="149"/>
      <c r="T2" s="56"/>
      <c r="U2" s="376"/>
      <c r="V2" s="299"/>
      <c r="W2" s="407"/>
      <c r="Z2" s="60"/>
      <c r="BH2" s="93"/>
      <c r="BI2" s="90"/>
      <c r="BJ2" s="90"/>
      <c r="BK2" s="90"/>
      <c r="BL2" s="82"/>
      <c r="BM2" s="151"/>
      <c r="BN2" s="151"/>
      <c r="BO2" s="151"/>
      <c r="BP2" s="151"/>
      <c r="BQ2" s="151"/>
      <c r="BR2" s="404"/>
      <c r="BS2" s="405"/>
      <c r="BT2" s="82"/>
      <c r="BU2" s="406"/>
    </row>
    <row r="3" spans="14:111">
      <c r="N3" s="180"/>
      <c r="O3" s="180"/>
      <c r="P3" s="180"/>
      <c r="Q3" s="180"/>
      <c r="R3" s="56"/>
      <c r="S3" s="56"/>
      <c r="T3" s="56"/>
      <c r="U3" s="56"/>
      <c r="V3" s="56"/>
      <c r="W3" s="56"/>
      <c r="BH3" s="93"/>
      <c r="BI3" s="90"/>
      <c r="BJ3" s="90"/>
      <c r="BK3" s="90"/>
      <c r="BL3" s="82"/>
      <c r="BM3" s="151"/>
      <c r="BN3" s="151"/>
      <c r="BO3" s="151"/>
      <c r="BP3" s="151"/>
      <c r="BQ3" s="151"/>
      <c r="BR3" s="404"/>
      <c r="BS3" s="405"/>
      <c r="BT3" s="82"/>
      <c r="BU3" s="406"/>
    </row>
    <row r="4" spans="14:111">
      <c r="N4" s="56"/>
      <c r="O4" s="181"/>
      <c r="P4" s="181"/>
      <c r="Q4" s="181"/>
      <c r="R4" s="56"/>
      <c r="BH4" s="93"/>
      <c r="BI4" s="90"/>
      <c r="BJ4" s="90"/>
      <c r="BK4" s="90"/>
      <c r="BL4" s="82"/>
      <c r="BM4" s="151"/>
      <c r="BN4" s="151"/>
      <c r="BO4" s="151"/>
      <c r="BP4" s="151"/>
      <c r="BQ4" s="151"/>
      <c r="BR4" s="404"/>
      <c r="BS4" s="405"/>
      <c r="BT4" s="82"/>
      <c r="BU4" s="406"/>
    </row>
    <row r="5" spans="14:111">
      <c r="BJ5" s="56"/>
      <c r="BK5" s="56"/>
      <c r="BL5" s="56"/>
      <c r="BM5" s="56"/>
      <c r="BN5" s="56"/>
      <c r="BO5" s="56"/>
      <c r="BP5" s="56"/>
      <c r="BQ5" s="93"/>
      <c r="BR5" s="376"/>
      <c r="BS5" s="56"/>
      <c r="BT5" s="178"/>
      <c r="BU5" s="378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93"/>
      <c r="CR5" s="93"/>
      <c r="CS5" s="93"/>
      <c r="CT5" s="93"/>
      <c r="CU5" s="93"/>
      <c r="CV5" s="93"/>
      <c r="CW5" s="93"/>
      <c r="CX5" s="93"/>
      <c r="CY5" s="93"/>
      <c r="CZ5" s="56"/>
      <c r="DA5" s="56"/>
      <c r="DB5" s="56"/>
      <c r="DC5" s="56"/>
      <c r="DD5" s="56"/>
      <c r="DE5" s="56"/>
      <c r="DF5" s="56"/>
      <c r="DG5" s="56"/>
    </row>
    <row r="6" spans="14:111">
      <c r="N6" s="130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93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93"/>
      <c r="CR6" s="93"/>
      <c r="CS6" s="93"/>
      <c r="CT6" s="93"/>
      <c r="CU6" s="93"/>
      <c r="CV6" s="93"/>
      <c r="CW6" s="93"/>
      <c r="CX6" s="93"/>
      <c r="CY6" s="93"/>
      <c r="CZ6" s="56"/>
      <c r="DA6" s="56"/>
      <c r="DB6" s="93"/>
      <c r="DC6" s="93"/>
      <c r="DD6" s="93"/>
      <c r="DE6" s="93"/>
      <c r="DF6" s="93"/>
      <c r="DG6" s="56"/>
    </row>
    <row r="7" spans="14:111">
      <c r="N7" s="130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93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93"/>
      <c r="CR7" s="93"/>
      <c r="CS7" s="93"/>
      <c r="CT7" s="93"/>
      <c r="CU7" s="93"/>
      <c r="CV7" s="93"/>
      <c r="CW7" s="93"/>
      <c r="CX7" s="93"/>
      <c r="CY7" s="93"/>
      <c r="CZ7" s="56"/>
      <c r="DA7" s="56"/>
      <c r="DB7" s="93"/>
      <c r="DC7" s="93"/>
      <c r="DD7" s="93"/>
      <c r="DE7" s="93"/>
      <c r="DF7" s="93"/>
      <c r="DG7" s="56"/>
    </row>
    <row r="8" spans="14:111">
      <c r="N8" s="130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93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93"/>
      <c r="CR8" s="93"/>
      <c r="CS8" s="93"/>
      <c r="CT8" s="93"/>
      <c r="CU8" s="93"/>
      <c r="CV8" s="93"/>
      <c r="CW8" s="93"/>
      <c r="CX8" s="93"/>
      <c r="CY8" s="93"/>
      <c r="CZ8" s="56"/>
      <c r="DA8" s="56"/>
      <c r="DB8" s="93"/>
      <c r="DC8" s="93"/>
      <c r="DD8" s="93"/>
      <c r="DE8" s="93"/>
      <c r="DF8" s="93"/>
      <c r="DG8" s="56"/>
    </row>
    <row r="9" spans="14:111">
      <c r="N9" s="130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93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93"/>
      <c r="CR9" s="93"/>
      <c r="CS9" s="93"/>
      <c r="CT9" s="93"/>
      <c r="CU9" s="93"/>
      <c r="CV9" s="93"/>
      <c r="CW9" s="93"/>
      <c r="CX9" s="93"/>
      <c r="CY9" s="93"/>
      <c r="CZ9" s="56"/>
      <c r="DA9" s="56"/>
      <c r="DB9" s="93"/>
      <c r="DC9" s="93"/>
      <c r="DD9" s="93"/>
      <c r="DE9" s="93"/>
      <c r="DF9" s="93"/>
      <c r="DG9" s="56"/>
    </row>
    <row r="10" spans="14:111">
      <c r="N10" s="130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93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93"/>
      <c r="CR10" s="93"/>
      <c r="CS10" s="93"/>
      <c r="CT10" s="93"/>
      <c r="CU10" s="93"/>
      <c r="CV10" s="93"/>
      <c r="CW10" s="93"/>
      <c r="CX10" s="93"/>
      <c r="CY10" s="93"/>
      <c r="CZ10" s="56"/>
      <c r="DA10" s="56"/>
      <c r="DB10" s="93"/>
      <c r="DC10" s="93"/>
      <c r="DD10" s="93"/>
      <c r="DE10" s="93"/>
      <c r="DF10" s="93"/>
      <c r="DG10" s="56"/>
    </row>
    <row r="11" spans="14:111"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13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</row>
    <row r="12" spans="14:111">
      <c r="N12" s="60"/>
      <c r="O12" s="129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</row>
    <row r="13" spans="14:111">
      <c r="N13" s="60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93"/>
      <c r="CP13" s="93"/>
      <c r="CQ13" s="93"/>
      <c r="CR13" s="93"/>
      <c r="CS13" s="93"/>
      <c r="CT13" s="93"/>
      <c r="CU13" s="93"/>
      <c r="CV13" s="377"/>
      <c r="CW13" s="93"/>
      <c r="CX13" s="93"/>
      <c r="CY13" s="93"/>
      <c r="CZ13" s="56"/>
      <c r="DA13" s="93"/>
      <c r="DB13" s="93"/>
      <c r="DC13" s="93"/>
      <c r="DD13" s="93"/>
      <c r="DE13" s="93"/>
      <c r="DF13" s="377"/>
      <c r="DG13" s="93"/>
    </row>
    <row r="14" spans="14:111">
      <c r="DD14" s="56"/>
      <c r="DE14" s="56"/>
      <c r="DF14" s="56"/>
      <c r="DG14" s="56"/>
    </row>
    <row r="15" spans="14:111">
      <c r="DD15" s="93"/>
      <c r="DE15" s="93"/>
      <c r="DF15" s="93"/>
      <c r="DG15" s="56"/>
    </row>
    <row r="16" spans="14:111">
      <c r="DD16" s="56"/>
      <c r="DE16" s="56"/>
      <c r="DF16" s="56"/>
      <c r="DG16" s="56"/>
    </row>
    <row r="17" spans="108:111">
      <c r="DD17" s="56"/>
      <c r="DE17" s="56"/>
      <c r="DF17" s="56"/>
      <c r="DG17" s="56"/>
    </row>
    <row r="18" spans="108:111">
      <c r="DD18" s="56"/>
      <c r="DE18" s="56"/>
      <c r="DF18" s="56"/>
      <c r="DG18" s="56"/>
    </row>
    <row r="19" spans="108:111">
      <c r="DD19" s="93"/>
      <c r="DE19" s="93"/>
      <c r="DF19" s="93"/>
      <c r="DG19" s="56"/>
    </row>
    <row r="20" spans="108:111">
      <c r="DD20" s="56"/>
      <c r="DE20" s="56"/>
      <c r="DF20" s="56"/>
      <c r="DG20" s="56"/>
    </row>
    <row r="21" spans="108:111">
      <c r="DD21" s="56"/>
      <c r="DE21" s="56"/>
      <c r="DF21" s="56"/>
      <c r="DG21" s="56"/>
    </row>
    <row r="22" spans="108:111">
      <c r="DD22" s="56"/>
      <c r="DE22" s="56"/>
      <c r="DF22" s="56"/>
      <c r="DG22" s="56"/>
    </row>
    <row r="23" spans="108:111">
      <c r="DD23" s="56"/>
      <c r="DE23" s="56"/>
      <c r="DF23" s="56"/>
      <c r="DG23" s="56"/>
    </row>
    <row r="24" spans="108:111">
      <c r="DD24" s="56"/>
      <c r="DE24" s="56"/>
      <c r="DF24" s="56"/>
      <c r="DG24" s="56"/>
    </row>
    <row r="25" spans="108:111">
      <c r="DD25" s="56"/>
      <c r="DE25" s="56"/>
      <c r="DF25" s="56"/>
      <c r="DG25" s="56"/>
    </row>
    <row r="26" spans="108:111">
      <c r="DD26" s="56"/>
      <c r="DE26" s="56"/>
      <c r="DF26" s="56"/>
      <c r="DG26" s="56"/>
    </row>
    <row r="27" spans="108:111">
      <c r="DD27" s="56"/>
      <c r="DE27" s="56"/>
      <c r="DF27" s="56"/>
      <c r="DG27" s="56"/>
    </row>
    <row r="28" spans="108:111">
      <c r="DD28" s="56"/>
      <c r="DE28" s="56"/>
      <c r="DF28" s="56"/>
      <c r="DG28" s="56"/>
    </row>
    <row r="29" spans="108:111">
      <c r="DD29" s="56"/>
      <c r="DE29" s="56"/>
      <c r="DF29" s="56"/>
      <c r="DG29" s="56"/>
    </row>
    <row r="30" spans="108:111">
      <c r="DD30" s="56"/>
      <c r="DE30" s="56"/>
      <c r="DF30" s="56"/>
      <c r="DG30" s="56"/>
    </row>
    <row r="31" spans="108:111">
      <c r="DD31" s="56"/>
      <c r="DE31" s="56"/>
      <c r="DF31" s="56"/>
      <c r="DG31" s="56"/>
    </row>
    <row r="32" spans="108:111">
      <c r="DD32" s="56"/>
      <c r="DE32" s="56"/>
      <c r="DF32" s="56"/>
      <c r="DG32" s="56"/>
    </row>
    <row r="33" spans="2:111">
      <c r="DD33" s="56"/>
      <c r="DE33" s="56"/>
      <c r="DF33" s="56"/>
      <c r="DG33" s="56"/>
    </row>
    <row r="34" spans="2:111">
      <c r="DD34" s="56"/>
      <c r="DE34" s="56"/>
      <c r="DF34" s="56"/>
      <c r="DG34" s="56"/>
    </row>
    <row r="35" spans="2:111">
      <c r="DD35" s="56"/>
      <c r="DE35" s="56"/>
      <c r="DF35" s="56"/>
      <c r="DG35" s="56"/>
    </row>
    <row r="36" spans="2:111">
      <c r="DD36" s="56"/>
      <c r="DE36" s="56"/>
      <c r="DF36" s="56"/>
      <c r="DG36" s="56"/>
    </row>
    <row r="37" spans="2:111">
      <c r="DD37" s="56"/>
      <c r="DE37" s="56"/>
      <c r="DF37" s="56"/>
      <c r="DG37" s="56"/>
    </row>
    <row r="38" spans="2:111">
      <c r="DD38" s="56"/>
      <c r="DE38" s="56"/>
      <c r="DF38" s="56"/>
      <c r="DG38" s="56"/>
    </row>
    <row r="39" spans="2:111">
      <c r="DD39" s="56"/>
      <c r="DE39" s="56"/>
      <c r="DF39" s="56"/>
      <c r="DG39" s="56"/>
    </row>
    <row r="40" spans="2:111">
      <c r="DD40" s="56"/>
      <c r="DE40" s="56"/>
      <c r="DF40" s="56"/>
      <c r="DG40" s="56"/>
    </row>
    <row r="41" spans="2:111">
      <c r="DD41" s="56"/>
      <c r="DE41" s="56"/>
      <c r="DF41" s="56"/>
      <c r="DG41" s="56"/>
    </row>
    <row r="42" spans="2:111">
      <c r="DD42" s="56"/>
      <c r="DE42" s="56"/>
      <c r="DF42" s="56"/>
      <c r="DG42" s="56"/>
    </row>
    <row r="43" spans="2:111">
      <c r="DD43" s="56"/>
      <c r="DE43" s="56"/>
      <c r="DF43" s="56"/>
      <c r="DG43" s="56"/>
    </row>
    <row r="44" spans="2:111">
      <c r="DD44" s="56"/>
      <c r="DE44" s="56"/>
      <c r="DF44" s="56"/>
      <c r="DG44" s="56"/>
    </row>
    <row r="45" spans="2:111">
      <c r="DD45" s="56"/>
      <c r="DE45" s="56"/>
      <c r="DF45" s="56"/>
      <c r="DG45" s="56"/>
    </row>
    <row r="46" spans="2:111">
      <c r="G46" s="67" t="s">
        <v>37</v>
      </c>
      <c r="H46" s="64" t="s">
        <v>38</v>
      </c>
      <c r="DD46" s="56"/>
      <c r="DE46" s="56"/>
      <c r="DF46" s="56"/>
      <c r="DG46" s="56"/>
    </row>
    <row r="47" spans="2:111">
      <c r="B47" s="70" t="s">
        <v>39</v>
      </c>
      <c r="C47" s="71"/>
      <c r="G47" s="68">
        <v>0.8</v>
      </c>
      <c r="H47" s="61">
        <v>0.26500000000000001</v>
      </c>
      <c r="DD47" s="56"/>
      <c r="DE47" s="56"/>
      <c r="DF47" s="56"/>
      <c r="DG47" s="56"/>
    </row>
    <row r="48" spans="2:111">
      <c r="B48" s="72" t="s">
        <v>40</v>
      </c>
      <c r="C48" s="73" t="s">
        <v>41</v>
      </c>
      <c r="G48" s="69">
        <v>0.3</v>
      </c>
      <c r="H48" s="66">
        <v>0.35</v>
      </c>
      <c r="DD48" s="56"/>
      <c r="DE48" s="56"/>
      <c r="DF48" s="56"/>
      <c r="DG48" s="56"/>
    </row>
    <row r="49" spans="2:111">
      <c r="B49" s="65">
        <v>0.68</v>
      </c>
      <c r="C49" s="66">
        <v>0.32</v>
      </c>
      <c r="D49" s="86">
        <v>0.68</v>
      </c>
      <c r="E49" s="87">
        <v>0.32</v>
      </c>
      <c r="G49" s="74">
        <f>G47</f>
        <v>0.8</v>
      </c>
      <c r="H49" s="66">
        <f>0.38</f>
        <v>0.38</v>
      </c>
      <c r="DD49" s="56"/>
      <c r="DE49" s="56"/>
      <c r="DF49" s="56"/>
      <c r="DG49" s="56"/>
    </row>
    <row r="50" spans="2:111">
      <c r="B50" s="65">
        <v>0.68</v>
      </c>
      <c r="C50" s="66">
        <v>0.36</v>
      </c>
      <c r="D50" s="62">
        <v>0.52</v>
      </c>
      <c r="E50" s="63">
        <v>0.34</v>
      </c>
      <c r="G50" s="75">
        <v>0.3</v>
      </c>
      <c r="H50" s="76">
        <v>0.46500000000000002</v>
      </c>
      <c r="DD50" s="56"/>
      <c r="DE50" s="56"/>
      <c r="DF50" s="56"/>
      <c r="DG50" s="56"/>
    </row>
    <row r="51" spans="2:111">
      <c r="B51" s="65">
        <v>0.52</v>
      </c>
      <c r="C51" s="66">
        <v>0.38</v>
      </c>
      <c r="D51" s="12"/>
      <c r="G51" s="75">
        <v>0.75</v>
      </c>
      <c r="H51" s="76">
        <v>0.27350000000000002</v>
      </c>
      <c r="DD51" s="56"/>
      <c r="DE51" s="56"/>
      <c r="DF51" s="56"/>
      <c r="DG51" s="56"/>
    </row>
    <row r="52" spans="2:111">
      <c r="B52" s="62">
        <v>0.52</v>
      </c>
      <c r="C52" s="63">
        <v>0.34</v>
      </c>
      <c r="D52" s="85"/>
      <c r="E52" s="60"/>
      <c r="G52" s="77">
        <f>G51</f>
        <v>0.75</v>
      </c>
      <c r="H52" s="76">
        <v>0.38850000000000001</v>
      </c>
      <c r="DD52" s="56"/>
      <c r="DE52" s="56"/>
      <c r="DF52" s="56"/>
      <c r="DG52" s="56"/>
    </row>
    <row r="53" spans="2:111">
      <c r="G53" s="78">
        <v>0.45</v>
      </c>
      <c r="H53" s="79">
        <v>0.32450000000000001</v>
      </c>
      <c r="DD53" s="56"/>
      <c r="DE53" s="56"/>
      <c r="DF53" s="56"/>
      <c r="DG53" s="56"/>
    </row>
    <row r="54" spans="2:111">
      <c r="G54" s="80">
        <f>G53</f>
        <v>0.45</v>
      </c>
      <c r="H54" s="81">
        <v>0.4395</v>
      </c>
      <c r="DD54" s="56"/>
      <c r="DE54" s="56"/>
      <c r="DF54" s="56"/>
      <c r="DG54" s="56"/>
    </row>
    <row r="55" spans="2:111">
      <c r="DD55" s="56"/>
      <c r="DE55" s="56"/>
      <c r="DF55" s="56"/>
      <c r="DG55" s="56"/>
    </row>
    <row r="56" spans="2:111"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05"/>
      <c r="AD56" s="505"/>
      <c r="AE56" s="505"/>
      <c r="AF56" s="505"/>
      <c r="AG56" s="505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93"/>
      <c r="BP56" s="93"/>
      <c r="BQ56" s="93"/>
      <c r="BR56" s="93"/>
      <c r="BS56" s="56"/>
      <c r="BT56" s="56"/>
      <c r="BU56" s="56"/>
      <c r="BV56" s="56"/>
      <c r="BW56" s="93"/>
      <c r="BX56" s="379"/>
      <c r="BY56" s="56"/>
      <c r="BZ56" s="93"/>
      <c r="CA56" s="93"/>
      <c r="CB56" s="93"/>
      <c r="CC56" s="56"/>
      <c r="CD56" s="56"/>
      <c r="CE56" s="56"/>
      <c r="CF56" s="56"/>
      <c r="CG56" s="56"/>
      <c r="CH56" s="56"/>
      <c r="CI56" s="56"/>
      <c r="CJ56" s="56"/>
      <c r="CK56" s="93"/>
      <c r="CL56" s="1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</row>
    <row r="57" spans="2:111"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05"/>
      <c r="AD57" s="505"/>
      <c r="AE57" s="505"/>
      <c r="AF57" s="505"/>
      <c r="AG57" s="505"/>
      <c r="AH57" s="56"/>
      <c r="AI57" s="56"/>
      <c r="AJ57" s="56"/>
      <c r="AK57" s="56"/>
      <c r="AL57" s="56"/>
      <c r="AM57" s="56"/>
      <c r="AN57" s="93"/>
      <c r="AO57" s="93"/>
      <c r="AP57" s="93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1"/>
      <c r="BT57" s="56"/>
      <c r="BU57" s="380"/>
      <c r="BV57" s="177"/>
      <c r="BW57" s="150"/>
      <c r="BX57" s="379"/>
      <c r="BY57" s="320"/>
      <c r="BZ57" s="56"/>
      <c r="CA57" s="240"/>
      <c r="CB57" s="249"/>
      <c r="CC57" s="56"/>
      <c r="CD57" s="56"/>
      <c r="CE57" s="56"/>
      <c r="CF57" s="56"/>
      <c r="CG57" s="56"/>
      <c r="CH57" s="56"/>
      <c r="CI57" s="56"/>
      <c r="CJ57" s="56"/>
      <c r="CK57" s="93"/>
      <c r="CL57" s="1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</row>
    <row r="58" spans="2:111">
      <c r="B58" s="117" t="s">
        <v>22</v>
      </c>
      <c r="C58" s="117" t="s">
        <v>23</v>
      </c>
      <c r="D58" s="117" t="s">
        <v>25</v>
      </c>
      <c r="E58" s="117" t="s">
        <v>13</v>
      </c>
      <c r="F58" s="12"/>
      <c r="G58" s="12"/>
      <c r="H58" s="33" t="s">
        <v>30</v>
      </c>
      <c r="I58" s="30"/>
      <c r="J58" s="30"/>
      <c r="K58" s="10"/>
      <c r="L58" s="12"/>
      <c r="N58" s="182"/>
      <c r="O58" s="56"/>
      <c r="P58" s="56"/>
      <c r="Q58" s="56"/>
      <c r="R58" s="56"/>
      <c r="BE58" s="95" t="s">
        <v>37</v>
      </c>
      <c r="BF58" s="95" t="s">
        <v>38</v>
      </c>
      <c r="BH58" s="93"/>
      <c r="BI58" s="90"/>
      <c r="BJ58" s="90"/>
      <c r="BK58" s="90"/>
      <c r="BL58" s="82"/>
      <c r="BM58" s="151"/>
      <c r="BN58" s="151"/>
      <c r="BO58" s="151"/>
      <c r="BP58" s="151"/>
      <c r="BQ58" s="151"/>
      <c r="BR58" s="404"/>
      <c r="BS58" s="405"/>
      <c r="BT58" s="82"/>
      <c r="BU58" s="406"/>
    </row>
    <row r="59" spans="2:111">
      <c r="B59" s="105">
        <v>1.5</v>
      </c>
      <c r="C59" s="111">
        <v>37.5</v>
      </c>
      <c r="D59" s="112">
        <f t="shared" ref="D59:D70" si="0">C59*1000</f>
        <v>37500</v>
      </c>
      <c r="E59" s="113">
        <f t="shared" ref="E59:E70" si="1">D59^0.45</f>
        <v>114.37051336098466</v>
      </c>
      <c r="F59" s="12"/>
      <c r="G59" s="12"/>
      <c r="H59" s="28"/>
      <c r="I59" s="9"/>
      <c r="J59" s="32" t="s">
        <v>21</v>
      </c>
      <c r="K59" s="10"/>
      <c r="L59" s="12"/>
      <c r="N59" s="93"/>
      <c r="O59" s="83"/>
      <c r="P59" s="82"/>
      <c r="Q59" s="83"/>
      <c r="R59" s="56"/>
      <c r="AC59" s="12"/>
      <c r="AD59" s="82"/>
      <c r="AE59" s="83"/>
      <c r="AF59" s="12"/>
      <c r="AZ59" s="60"/>
      <c r="BE59" s="37">
        <v>12</v>
      </c>
      <c r="BF59" s="96">
        <v>0</v>
      </c>
      <c r="BH59" s="93"/>
      <c r="BI59" s="90"/>
      <c r="BJ59" s="90"/>
      <c r="BK59" s="90"/>
      <c r="BL59" s="82"/>
      <c r="BM59" s="151"/>
      <c r="BN59" s="151"/>
      <c r="BO59" s="151"/>
      <c r="BP59" s="151"/>
      <c r="BQ59" s="151"/>
      <c r="BR59" s="404"/>
      <c r="BS59" s="405"/>
      <c r="BT59" s="82"/>
      <c r="BU59" s="406"/>
    </row>
    <row r="60" spans="2:111" ht="25.5">
      <c r="B60" s="106">
        <v>1</v>
      </c>
      <c r="C60" s="114">
        <v>25</v>
      </c>
      <c r="D60" s="112">
        <f t="shared" si="0"/>
        <v>25000</v>
      </c>
      <c r="E60" s="115">
        <f t="shared" si="1"/>
        <v>95.295634032720628</v>
      </c>
      <c r="F60" s="12"/>
      <c r="G60" s="12"/>
      <c r="H60" s="11" t="s">
        <v>16</v>
      </c>
      <c r="I60" s="29" t="s">
        <v>26</v>
      </c>
      <c r="J60" s="29" t="s">
        <v>27</v>
      </c>
      <c r="K60" s="57" t="s">
        <v>29</v>
      </c>
      <c r="N60" s="93"/>
      <c r="O60" s="83"/>
      <c r="P60" s="82"/>
      <c r="Q60" s="83"/>
      <c r="R60" s="56"/>
      <c r="AZ60" s="60"/>
      <c r="BE60" s="55">
        <v>11</v>
      </c>
      <c r="BF60" s="97">
        <v>0.18</v>
      </c>
      <c r="BH60" s="93"/>
      <c r="BI60" s="90"/>
      <c r="BJ60" s="90"/>
      <c r="BK60" s="90"/>
      <c r="BL60" s="82"/>
      <c r="BM60" s="151"/>
      <c r="BN60" s="151"/>
      <c r="BO60" s="151"/>
      <c r="BP60" s="151"/>
      <c r="BQ60" s="151"/>
      <c r="BR60" s="404"/>
      <c r="BS60" s="405"/>
      <c r="BT60" s="82"/>
      <c r="BU60" s="406"/>
    </row>
    <row r="61" spans="2:111">
      <c r="B61" s="106">
        <v>0.75</v>
      </c>
      <c r="C61" s="114">
        <v>19</v>
      </c>
      <c r="D61" s="112">
        <f t="shared" si="0"/>
        <v>19000</v>
      </c>
      <c r="E61" s="113">
        <f t="shared" si="1"/>
        <v>84.224631674288489</v>
      </c>
      <c r="F61" s="12"/>
      <c r="G61" s="12"/>
      <c r="H61" s="24">
        <v>1.5</v>
      </c>
      <c r="I61" s="254" t="e">
        <f>B$78*'Mix Design'!#REF!+'Mix Design'!#REF!*C$78+D$78*'Mix Design'!#REF!</f>
        <v>#REF!</v>
      </c>
      <c r="J61" s="139" t="e">
        <f>1-I61</f>
        <v>#REF!</v>
      </c>
      <c r="K61" s="255" t="e">
        <f>J61</f>
        <v>#REF!</v>
      </c>
      <c r="N61" s="93"/>
      <c r="O61" s="83"/>
      <c r="P61" s="82"/>
      <c r="Q61" s="83"/>
      <c r="R61" s="56"/>
      <c r="BE61" s="55">
        <v>2</v>
      </c>
      <c r="BF61" s="97">
        <v>0.18</v>
      </c>
      <c r="BH61" s="93"/>
      <c r="BI61" s="90"/>
      <c r="BJ61" s="90"/>
      <c r="BK61" s="90"/>
      <c r="BL61" s="82"/>
      <c r="BM61" s="151"/>
      <c r="BN61" s="151"/>
      <c r="BO61" s="151"/>
      <c r="BP61" s="151"/>
      <c r="BQ61" s="151"/>
      <c r="BR61" s="404"/>
      <c r="BS61" s="405"/>
      <c r="BT61" s="82"/>
      <c r="BU61" s="406"/>
    </row>
    <row r="62" spans="2:111" ht="18.75" thickBot="1">
      <c r="B62" s="106">
        <v>0.5</v>
      </c>
      <c r="C62" s="114">
        <v>12.5</v>
      </c>
      <c r="D62" s="112">
        <f t="shared" si="0"/>
        <v>12500</v>
      </c>
      <c r="E62" s="113">
        <f t="shared" si="1"/>
        <v>69.760487336687731</v>
      </c>
      <c r="F62" s="85"/>
      <c r="G62" s="85"/>
      <c r="H62" s="24">
        <v>1</v>
      </c>
      <c r="I62" s="254" t="e">
        <f>B$78*'Mix Design'!#REF!+'Mix Design'!#REF!*C$78+D$78*'Mix Design'!#REF!</f>
        <v>#REF!</v>
      </c>
      <c r="J62" s="75" t="e">
        <f>I61-I62</f>
        <v>#REF!</v>
      </c>
      <c r="K62" s="256" t="e">
        <f>J61+J62</f>
        <v>#REF!</v>
      </c>
      <c r="L62" s="38" t="s">
        <v>35</v>
      </c>
      <c r="M62" s="70"/>
      <c r="N62" s="93"/>
      <c r="O62" s="83"/>
      <c r="P62" s="82"/>
      <c r="Q62" s="83"/>
      <c r="R62" s="56"/>
      <c r="BE62" s="98">
        <v>1</v>
      </c>
      <c r="BF62" s="99">
        <v>0</v>
      </c>
      <c r="BH62" s="93"/>
      <c r="BI62" s="90"/>
      <c r="BJ62" s="90"/>
      <c r="BK62" s="90"/>
      <c r="BL62" s="82"/>
      <c r="BM62" s="151"/>
      <c r="BN62" s="151"/>
      <c r="BO62" s="151"/>
      <c r="BP62" s="151"/>
      <c r="BQ62" s="151"/>
      <c r="BR62" s="404"/>
      <c r="BS62" s="405"/>
      <c r="BT62" s="82"/>
      <c r="BU62" s="406"/>
      <c r="BX62" s="392"/>
    </row>
    <row r="63" spans="2:111" ht="19.5" thickTop="1" thickBot="1">
      <c r="B63" s="107">
        <f>3/8</f>
        <v>0.375</v>
      </c>
      <c r="C63" s="114">
        <v>9.5</v>
      </c>
      <c r="D63" s="112">
        <f t="shared" si="0"/>
        <v>9500</v>
      </c>
      <c r="E63" s="113">
        <f t="shared" si="1"/>
        <v>61.656039240307337</v>
      </c>
      <c r="F63" s="85"/>
      <c r="G63" s="85"/>
      <c r="H63" s="25">
        <v>0.75</v>
      </c>
      <c r="I63" s="254" t="e">
        <f>B$78*'Mix Design'!#REF!+'Mix Design'!#REF!*C$78+D$78*'Mix Design'!#REF!</f>
        <v>#REF!</v>
      </c>
      <c r="J63" s="75" t="e">
        <f t="shared" ref="J63:J72" si="2">I62-I63</f>
        <v>#REF!</v>
      </c>
      <c r="K63" s="256" t="e">
        <f>J62+J63</f>
        <v>#REF!</v>
      </c>
      <c r="L63" s="118">
        <f>E60</f>
        <v>95.295634032720628</v>
      </c>
      <c r="M63" s="367">
        <v>1</v>
      </c>
      <c r="N63" s="93"/>
      <c r="O63" s="83"/>
      <c r="P63" s="82"/>
      <c r="Q63" s="83"/>
      <c r="R63" s="56"/>
      <c r="BE63" s="37">
        <v>10</v>
      </c>
      <c r="BF63" s="96">
        <v>0</v>
      </c>
      <c r="BH63" s="93"/>
      <c r="BI63" s="90"/>
      <c r="BJ63" s="90"/>
      <c r="BK63" s="90"/>
      <c r="BL63" s="82"/>
      <c r="BM63" s="151"/>
      <c r="BN63" s="151"/>
      <c r="BO63" s="151"/>
      <c r="BP63" s="151"/>
      <c r="BQ63" s="151"/>
      <c r="BR63" s="404"/>
      <c r="BS63" s="405"/>
      <c r="BT63" s="82"/>
      <c r="BU63" s="406"/>
      <c r="BX63" s="382"/>
      <c r="BY63" s="393"/>
      <c r="BZ63" s="393"/>
      <c r="CA63" s="394"/>
      <c r="CB63" s="385"/>
      <c r="CC63" s="395"/>
    </row>
    <row r="64" spans="2:111" ht="18">
      <c r="B64" s="108" t="s">
        <v>2</v>
      </c>
      <c r="C64" s="114">
        <v>4.75</v>
      </c>
      <c r="D64" s="112">
        <f t="shared" si="0"/>
        <v>4750</v>
      </c>
      <c r="E64" s="113">
        <f t="shared" si="1"/>
        <v>45.134862560198059</v>
      </c>
      <c r="F64" s="85"/>
      <c r="G64" s="85"/>
      <c r="H64" s="25">
        <v>0.5</v>
      </c>
      <c r="I64" s="254" t="e">
        <f>B$78*'Mix Design'!#REF!+'Mix Design'!#REF!*C$78+D$78*'Mix Design'!#REF!</f>
        <v>#REF!</v>
      </c>
      <c r="J64" s="75" t="e">
        <f t="shared" si="2"/>
        <v>#REF!</v>
      </c>
      <c r="K64" s="256" t="e">
        <f t="shared" ref="K64:K72" si="3">K63+J64</f>
        <v>#REF!</v>
      </c>
      <c r="L64" s="104">
        <v>0</v>
      </c>
      <c r="M64" s="367">
        <v>0</v>
      </c>
      <c r="N64" s="93"/>
      <c r="O64" s="83"/>
      <c r="P64" s="82"/>
      <c r="Q64" s="83"/>
      <c r="R64" s="56"/>
      <c r="BE64" s="55">
        <v>9</v>
      </c>
      <c r="BF64" s="97">
        <v>0.08</v>
      </c>
      <c r="BH64" s="93"/>
      <c r="BI64" s="90"/>
      <c r="BJ64" s="90"/>
      <c r="BK64" s="90"/>
      <c r="BL64" s="82"/>
      <c r="BM64" s="151"/>
      <c r="BN64" s="151"/>
      <c r="BO64" s="151"/>
      <c r="BP64" s="151"/>
      <c r="BQ64" s="151"/>
      <c r="BR64" s="404"/>
      <c r="BS64" s="405"/>
      <c r="BT64" s="82"/>
      <c r="BU64" s="406"/>
      <c r="BX64" s="396"/>
      <c r="BY64" s="397"/>
      <c r="BZ64" s="397"/>
      <c r="CA64" s="397"/>
      <c r="CB64" s="387"/>
      <c r="CC64" s="398"/>
    </row>
    <row r="65" spans="1:81" ht="18">
      <c r="B65" s="109" t="s">
        <v>5</v>
      </c>
      <c r="C65" s="114">
        <v>2.36</v>
      </c>
      <c r="D65" s="112">
        <f t="shared" si="0"/>
        <v>2360</v>
      </c>
      <c r="E65" s="113">
        <f t="shared" si="1"/>
        <v>32.946584684146316</v>
      </c>
      <c r="F65" s="85"/>
      <c r="G65" s="85"/>
      <c r="H65" s="10">
        <v>0.375</v>
      </c>
      <c r="I65" s="254" t="e">
        <f>B$78*'Mix Design'!#REF!+'Mix Design'!#REF!*C$78+D$78*'Mix Design'!#REF!</f>
        <v>#REF!</v>
      </c>
      <c r="J65" s="75" t="e">
        <f t="shared" si="2"/>
        <v>#REF!</v>
      </c>
      <c r="K65" s="257" t="e">
        <f t="shared" si="3"/>
        <v>#REF!</v>
      </c>
      <c r="N65" s="93"/>
      <c r="O65" s="83"/>
      <c r="P65" s="82"/>
      <c r="Q65" s="83"/>
      <c r="R65" s="56"/>
      <c r="BE65" s="55">
        <v>4</v>
      </c>
      <c r="BF65" s="97">
        <v>0.08</v>
      </c>
      <c r="BH65" s="93"/>
      <c r="BI65" s="90"/>
      <c r="BJ65" s="90"/>
      <c r="BK65" s="90"/>
      <c r="BL65" s="82"/>
      <c r="BM65" s="151"/>
      <c r="BN65" s="151"/>
      <c r="BO65" s="151"/>
      <c r="BP65" s="151"/>
      <c r="BQ65" s="151"/>
      <c r="BR65" s="404"/>
      <c r="BS65" s="405"/>
      <c r="BT65" s="82"/>
      <c r="BU65" s="406"/>
      <c r="BX65" s="388"/>
      <c r="BY65" s="399"/>
      <c r="BZ65" s="399"/>
      <c r="CA65" s="399"/>
      <c r="CB65" s="387"/>
      <c r="CC65" s="387"/>
    </row>
    <row r="66" spans="1:81" ht="18">
      <c r="B66" s="109" t="s">
        <v>7</v>
      </c>
      <c r="C66" s="114">
        <v>1.18</v>
      </c>
      <c r="D66" s="112">
        <f t="shared" si="0"/>
        <v>1180</v>
      </c>
      <c r="E66" s="113">
        <f t="shared" si="1"/>
        <v>24.11831168315992</v>
      </c>
      <c r="F66" s="85"/>
      <c r="G66" s="85"/>
      <c r="H66" s="26" t="s">
        <v>2</v>
      </c>
      <c r="I66" s="254" t="e">
        <f>B$78*'Mix Design'!#REF!+'Mix Design'!#REF!*C$78+D$78*'Mix Design'!#REF!</f>
        <v>#REF!</v>
      </c>
      <c r="J66" s="75" t="e">
        <f t="shared" si="2"/>
        <v>#REF!</v>
      </c>
      <c r="K66" s="256" t="e">
        <f t="shared" si="3"/>
        <v>#REF!</v>
      </c>
      <c r="L66" s="70" t="s">
        <v>48</v>
      </c>
      <c r="M66" s="368"/>
      <c r="N66" s="93"/>
      <c r="O66" s="83"/>
      <c r="P66" s="82"/>
      <c r="Q66" s="83"/>
      <c r="R66" s="56"/>
      <c r="BE66" s="98">
        <v>3</v>
      </c>
      <c r="BF66" s="99">
        <v>0</v>
      </c>
      <c r="BH66" s="93"/>
      <c r="BI66" s="90"/>
      <c r="BJ66" s="90"/>
      <c r="BK66" s="90"/>
      <c r="BL66" s="82"/>
      <c r="BM66" s="151"/>
      <c r="BN66" s="151"/>
      <c r="BO66" s="151"/>
      <c r="BP66" s="151"/>
      <c r="BQ66" s="151"/>
      <c r="BR66" s="404"/>
      <c r="BS66" s="405"/>
      <c r="BT66" s="82"/>
      <c r="BU66" s="406"/>
      <c r="BX66" s="388"/>
      <c r="BY66" s="399"/>
      <c r="BZ66" s="399"/>
      <c r="CA66" s="399"/>
      <c r="CB66" s="387"/>
      <c r="CC66" s="387"/>
    </row>
    <row r="67" spans="1:81" ht="18">
      <c r="B67" s="109" t="s">
        <v>8</v>
      </c>
      <c r="C67" s="114">
        <v>0.6</v>
      </c>
      <c r="D67" s="112">
        <f t="shared" si="0"/>
        <v>600</v>
      </c>
      <c r="E67" s="113">
        <f t="shared" si="1"/>
        <v>17.789676992918196</v>
      </c>
      <c r="F67" s="85"/>
      <c r="G67" s="85"/>
      <c r="H67" s="27" t="s">
        <v>5</v>
      </c>
      <c r="I67" s="258" t="e">
        <f>B$78*'Mix Design'!#REF!+'Mix Design'!#REF!*C$78+D$78*'Mix Design'!#REF!</f>
        <v>#REF!</v>
      </c>
      <c r="J67" s="75" t="e">
        <f t="shared" si="2"/>
        <v>#REF!</v>
      </c>
      <c r="K67" s="257" t="e">
        <f>K66+J67</f>
        <v>#REF!</v>
      </c>
      <c r="L67" s="10">
        <f>L64</f>
        <v>0</v>
      </c>
      <c r="M67" s="369">
        <f>M64</f>
        <v>0</v>
      </c>
      <c r="N67" s="93"/>
      <c r="O67" s="83"/>
      <c r="P67" s="82"/>
      <c r="Q67" s="83"/>
      <c r="R67" s="56"/>
      <c r="AU67" s="56"/>
      <c r="AV67" s="56"/>
      <c r="AW67" s="56"/>
      <c r="AX67" s="56"/>
      <c r="AY67" s="56"/>
      <c r="AZ67" s="56"/>
      <c r="BX67" s="388"/>
      <c r="BY67" s="399"/>
      <c r="BZ67" s="399"/>
      <c r="CA67" s="399"/>
      <c r="CB67" s="387"/>
      <c r="CC67" s="387"/>
    </row>
    <row r="68" spans="1:81" ht="18">
      <c r="B68" s="109" t="s">
        <v>9</v>
      </c>
      <c r="C68" s="114">
        <v>0.3</v>
      </c>
      <c r="D68" s="112">
        <f t="shared" si="0"/>
        <v>300</v>
      </c>
      <c r="E68" s="113">
        <f t="shared" si="1"/>
        <v>13.02280581041226</v>
      </c>
      <c r="F68" s="85"/>
      <c r="G68" s="85"/>
      <c r="H68" s="27" t="s">
        <v>7</v>
      </c>
      <c r="I68" s="254" t="e">
        <f>B$78*'Mix Design'!C44+'Mix Design'!#REF!*C$78+D$78*'Mix Design'!#REF!</f>
        <v>#REF!</v>
      </c>
      <c r="J68" s="75" t="e">
        <f t="shared" si="2"/>
        <v>#REF!</v>
      </c>
      <c r="K68" s="256" t="e">
        <f t="shared" si="3"/>
        <v>#REF!</v>
      </c>
      <c r="L68" s="120">
        <f>E61</f>
        <v>84.224631674288489</v>
      </c>
      <c r="M68" s="369">
        <f>M63</f>
        <v>1</v>
      </c>
      <c r="N68" s="93"/>
      <c r="O68" s="83"/>
      <c r="P68" s="82"/>
      <c r="Q68" s="83"/>
      <c r="R68" s="56"/>
      <c r="AU68" s="56"/>
      <c r="AV68" s="56"/>
      <c r="AW68" s="56"/>
      <c r="AX68" s="56"/>
      <c r="AY68" s="56"/>
      <c r="AZ68" s="56"/>
      <c r="BX68" s="388"/>
      <c r="BY68" s="399"/>
      <c r="BZ68" s="399"/>
      <c r="CA68" s="399"/>
      <c r="CB68" s="387"/>
      <c r="CC68" s="387"/>
    </row>
    <row r="69" spans="1:81" ht="18">
      <c r="B69" s="109" t="s">
        <v>10</v>
      </c>
      <c r="C69" s="114">
        <v>0.15</v>
      </c>
      <c r="D69" s="112">
        <f t="shared" si="0"/>
        <v>150</v>
      </c>
      <c r="E69" s="113">
        <f t="shared" si="1"/>
        <v>9.533251854051084</v>
      </c>
      <c r="F69" s="85"/>
      <c r="G69" s="85"/>
      <c r="H69" s="27" t="s">
        <v>8</v>
      </c>
      <c r="I69" s="254" t="e">
        <f>B$78*'Mix Design'!C45+'Mix Design'!#REF!*C$78+D$78*'Mix Design'!#REF!</f>
        <v>#REF!</v>
      </c>
      <c r="J69" s="75" t="e">
        <f t="shared" si="2"/>
        <v>#REF!</v>
      </c>
      <c r="K69" s="75" t="e">
        <f t="shared" si="3"/>
        <v>#REF!</v>
      </c>
      <c r="N69" s="93"/>
      <c r="O69" s="83"/>
      <c r="P69" s="82"/>
      <c r="Q69" s="83"/>
      <c r="R69" s="56"/>
      <c r="AU69" s="56"/>
      <c r="AV69" s="93"/>
      <c r="AW69" s="56"/>
      <c r="AX69" s="93"/>
      <c r="AY69" s="56"/>
      <c r="AZ69" s="56"/>
      <c r="BX69" s="388"/>
      <c r="BY69" s="399"/>
      <c r="BZ69" s="399"/>
      <c r="CA69" s="399"/>
      <c r="CB69" s="387"/>
      <c r="CC69" s="387"/>
    </row>
    <row r="70" spans="1:81" ht="18.75" thickBot="1">
      <c r="B70" s="110" t="s">
        <v>12</v>
      </c>
      <c r="C70" s="116">
        <v>7.4999999999999997E-2</v>
      </c>
      <c r="D70" s="116">
        <f t="shared" si="0"/>
        <v>75</v>
      </c>
      <c r="E70" s="115">
        <f t="shared" si="1"/>
        <v>6.9787488376816533</v>
      </c>
      <c r="F70" s="85"/>
      <c r="G70" s="85"/>
      <c r="H70" s="27" t="s">
        <v>9</v>
      </c>
      <c r="I70" s="254" t="e">
        <f>B$78*'Mix Design'!C46+'Mix Design'!#REF!*C$78+D$78*'Mix Design'!#REF!</f>
        <v>#REF!</v>
      </c>
      <c r="J70" s="75" t="e">
        <f t="shared" si="2"/>
        <v>#REF!</v>
      </c>
      <c r="K70" s="75" t="e">
        <f t="shared" si="3"/>
        <v>#REF!</v>
      </c>
      <c r="L70" s="70" t="s">
        <v>49</v>
      </c>
      <c r="M70" s="368"/>
      <c r="N70" s="93"/>
      <c r="O70" s="83"/>
      <c r="P70" s="82"/>
      <c r="Q70" s="83"/>
      <c r="R70" s="56"/>
      <c r="AU70" s="56"/>
      <c r="AV70" s="93"/>
      <c r="AW70" s="90"/>
      <c r="AX70" s="90"/>
      <c r="AY70" s="56"/>
      <c r="AZ70" s="56"/>
      <c r="BI70" s="188" t="s">
        <v>67</v>
      </c>
      <c r="BJ70" s="189" t="s">
        <v>68</v>
      </c>
      <c r="BK70" s="190" t="s">
        <v>69</v>
      </c>
      <c r="BL70" s="191"/>
      <c r="BM70" s="192"/>
      <c r="BN70" s="193" t="s">
        <v>70</v>
      </c>
      <c r="BO70" s="194"/>
      <c r="BX70" s="400"/>
      <c r="BY70" s="401"/>
      <c r="BZ70" s="401"/>
      <c r="CA70" s="401"/>
      <c r="CB70" s="387"/>
      <c r="CC70" s="387"/>
    </row>
    <row r="71" spans="1:81" ht="15.75" thickTop="1">
      <c r="F71" s="85"/>
      <c r="G71" s="85"/>
      <c r="H71" s="27" t="s">
        <v>10</v>
      </c>
      <c r="I71" s="254" t="e">
        <f>B$78*'Mix Design'!C47+'Mix Design'!#REF!*C$78+D$78*'Mix Design'!#REF!</f>
        <v>#REF!</v>
      </c>
      <c r="J71" s="75" t="e">
        <f t="shared" si="2"/>
        <v>#REF!</v>
      </c>
      <c r="K71" s="75" t="e">
        <f t="shared" si="3"/>
        <v>#REF!</v>
      </c>
      <c r="L71" s="10">
        <f>L67</f>
        <v>0</v>
      </c>
      <c r="M71" s="119">
        <f>M67</f>
        <v>0</v>
      </c>
      <c r="AU71" s="56"/>
      <c r="AV71" s="93"/>
      <c r="AW71" s="90"/>
      <c r="AX71" s="90"/>
      <c r="AY71" s="56"/>
      <c r="AZ71" s="56"/>
      <c r="BI71" s="195" t="s">
        <v>71</v>
      </c>
      <c r="BJ71" s="196" t="s">
        <v>72</v>
      </c>
      <c r="BK71" s="196" t="s">
        <v>14</v>
      </c>
      <c r="BL71" s="196" t="s">
        <v>4</v>
      </c>
      <c r="BM71" s="196" t="s">
        <v>73</v>
      </c>
      <c r="BN71" s="196" t="s">
        <v>74</v>
      </c>
      <c r="BO71" s="196" t="s">
        <v>75</v>
      </c>
    </row>
    <row r="72" spans="1:81">
      <c r="F72" s="85"/>
      <c r="G72" s="85"/>
      <c r="H72" s="27" t="s">
        <v>12</v>
      </c>
      <c r="I72" s="254" t="e">
        <f>B$78*'Mix Design'!#REF!+'Mix Design'!#REF!*C$78+D$78*'Mix Design'!#REF!</f>
        <v>#REF!</v>
      </c>
      <c r="J72" s="75" t="e">
        <f t="shared" si="2"/>
        <v>#REF!</v>
      </c>
      <c r="K72" s="171" t="e">
        <f t="shared" si="3"/>
        <v>#REF!</v>
      </c>
      <c r="L72" s="120">
        <f>E59</f>
        <v>114.37051336098466</v>
      </c>
      <c r="M72" s="119">
        <f>M68</f>
        <v>1</v>
      </c>
      <c r="AU72" s="56"/>
      <c r="AV72" s="93"/>
      <c r="AW72" s="90"/>
      <c r="AX72" s="90"/>
      <c r="AY72" s="56"/>
      <c r="AZ72" s="56"/>
      <c r="BI72" s="197">
        <v>1</v>
      </c>
      <c r="BJ72" s="197" t="s">
        <v>76</v>
      </c>
      <c r="BK72" s="198">
        <v>0.75</v>
      </c>
      <c r="BL72" s="198">
        <v>0.25</v>
      </c>
      <c r="BM72" s="198">
        <v>0</v>
      </c>
      <c r="BN72" s="198">
        <v>108.02666666666669</v>
      </c>
      <c r="BO72" s="199">
        <v>7.6635979978430724</v>
      </c>
    </row>
    <row r="73" spans="1:81">
      <c r="A73" s="10" t="s">
        <v>20</v>
      </c>
      <c r="B73" s="5" t="s">
        <v>17</v>
      </c>
      <c r="C73" s="5" t="s">
        <v>4</v>
      </c>
      <c r="D73" s="5" t="s">
        <v>18</v>
      </c>
      <c r="E73" s="8" t="s">
        <v>19</v>
      </c>
      <c r="F73" s="85"/>
      <c r="G73" s="85"/>
      <c r="AU73" s="56"/>
      <c r="AV73" s="93"/>
      <c r="AW73" s="90"/>
      <c r="AX73" s="90"/>
      <c r="AY73" s="56"/>
      <c r="AZ73" s="56"/>
      <c r="BI73" s="200">
        <v>5</v>
      </c>
      <c r="BJ73" s="200" t="s">
        <v>76</v>
      </c>
      <c r="BK73" s="201">
        <v>0.73529411764705888</v>
      </c>
      <c r="BL73" s="201">
        <v>0.26470588235294112</v>
      </c>
      <c r="BM73" s="201">
        <v>0</v>
      </c>
      <c r="BN73" s="201">
        <v>107.2</v>
      </c>
      <c r="BO73" s="202">
        <v>7.807658637241885</v>
      </c>
    </row>
    <row r="74" spans="1:81">
      <c r="A74" s="16">
        <v>2</v>
      </c>
      <c r="B74" s="172">
        <f>B81</f>
        <v>1763.9584874851973</v>
      </c>
      <c r="C74" s="172">
        <f>C81</f>
        <v>95.270378980760867</v>
      </c>
      <c r="D74" s="172">
        <f>D81</f>
        <v>1420.7974934807066</v>
      </c>
      <c r="E74" s="10">
        <f>SUM(B74:D74)</f>
        <v>3280.0263599466648</v>
      </c>
      <c r="N74" s="13"/>
      <c r="AU74" s="56"/>
      <c r="AV74" s="93"/>
      <c r="AW74" s="90"/>
      <c r="AX74" s="90"/>
      <c r="AY74" s="56"/>
      <c r="AZ74" s="56"/>
      <c r="BI74" s="200">
        <v>6</v>
      </c>
      <c r="BJ74" s="200" t="s">
        <v>76</v>
      </c>
      <c r="BK74" s="201">
        <v>0.65789473684210531</v>
      </c>
      <c r="BL74" s="201">
        <v>0.34210526315789475</v>
      </c>
      <c r="BM74" s="201">
        <v>0</v>
      </c>
      <c r="BN74" s="201">
        <v>106.38666666666667</v>
      </c>
      <c r="BO74" s="202">
        <v>8.5658725288145874</v>
      </c>
    </row>
    <row r="75" spans="1:81">
      <c r="H75" s="12">
        <v>1769.101005805634</v>
      </c>
      <c r="I75" s="12">
        <v>506.79318297778093</v>
      </c>
      <c r="J75" s="12">
        <v>1085.8139319553102</v>
      </c>
      <c r="N75" s="14"/>
      <c r="AF75" s="89" t="s">
        <v>42</v>
      </c>
      <c r="AG75" s="16" t="s">
        <v>28</v>
      </c>
      <c r="AH75" s="12"/>
      <c r="AJ75" s="10" t="s">
        <v>20</v>
      </c>
      <c r="AK75" s="34" t="s">
        <v>33</v>
      </c>
      <c r="AL75" s="34" t="s">
        <v>34</v>
      </c>
      <c r="AN75" s="93"/>
      <c r="AO75" s="93"/>
      <c r="AU75" s="56"/>
      <c r="AV75" s="93"/>
      <c r="AW75" s="90"/>
      <c r="AX75" s="90"/>
      <c r="AY75" s="56"/>
      <c r="AZ75" s="56"/>
      <c r="BI75" s="200">
        <v>7</v>
      </c>
      <c r="BJ75" s="200" t="s">
        <v>76</v>
      </c>
      <c r="BK75" s="201">
        <v>0.80645161290322587</v>
      </c>
      <c r="BL75" s="201">
        <v>0.19354838709677419</v>
      </c>
      <c r="BM75" s="201">
        <v>0</v>
      </c>
      <c r="BN75" s="201">
        <v>105.45333333333333</v>
      </c>
      <c r="BO75" s="202">
        <v>7.110591027247632</v>
      </c>
    </row>
    <row r="76" spans="1:81">
      <c r="B76" s="17" t="s">
        <v>24</v>
      </c>
      <c r="C76" s="18"/>
      <c r="D76" s="19"/>
      <c r="F76" s="60">
        <v>0.48979096777502334</v>
      </c>
      <c r="G76" s="60"/>
      <c r="H76" s="172">
        <v>2132.267249349793</v>
      </c>
      <c r="I76" s="172">
        <v>6.306409804893919</v>
      </c>
      <c r="J76" s="172">
        <v>1227.0722332265495</v>
      </c>
      <c r="N76" s="14"/>
      <c r="AF76" s="16" t="s">
        <v>31</v>
      </c>
      <c r="AG76" s="143" t="e">
        <f>K65/K67</f>
        <v>#REF!</v>
      </c>
      <c r="AH76" s="12"/>
      <c r="AJ76" s="16">
        <v>2</v>
      </c>
      <c r="AK76" s="137">
        <v>392</v>
      </c>
      <c r="AL76" s="138">
        <v>78</v>
      </c>
      <c r="AN76" s="239"/>
      <c r="AO76" s="93"/>
      <c r="AU76" s="56"/>
      <c r="AV76" s="93"/>
      <c r="AW76" s="90"/>
      <c r="AX76" s="90"/>
      <c r="AY76" s="56"/>
      <c r="AZ76" s="56"/>
      <c r="BI76" s="200">
        <v>8</v>
      </c>
      <c r="BJ76" s="200" t="s">
        <v>76</v>
      </c>
      <c r="BK76" s="201">
        <v>0.87719298245614041</v>
      </c>
      <c r="BL76" s="201">
        <v>0.12280701754385967</v>
      </c>
      <c r="BM76" s="201">
        <v>0</v>
      </c>
      <c r="BN76" s="201">
        <v>104.04</v>
      </c>
      <c r="BO76" s="202">
        <v>6.4175998360252713</v>
      </c>
    </row>
    <row r="77" spans="1:81">
      <c r="B77" s="8" t="s">
        <v>14</v>
      </c>
      <c r="C77" s="5" t="s">
        <v>4</v>
      </c>
      <c r="D77" s="5" t="s">
        <v>18</v>
      </c>
      <c r="F77" s="60">
        <v>0.13521912537420402</v>
      </c>
      <c r="G77" s="60"/>
      <c r="I77" s="172">
        <v>6.2164839970423236</v>
      </c>
      <c r="J77" s="172">
        <v>1255.6498250057255</v>
      </c>
      <c r="N77" s="1"/>
      <c r="AF77" s="16" t="s">
        <v>32</v>
      </c>
      <c r="AG77" s="143" t="e">
        <f>(I67*100+2.5*((AK76+AL76)-564)/94)/100</f>
        <v>#REF!</v>
      </c>
      <c r="AH77" s="12"/>
      <c r="AU77" s="56"/>
      <c r="AV77" s="93"/>
      <c r="AW77" s="90"/>
      <c r="AX77" s="90"/>
      <c r="AY77" s="56"/>
      <c r="AZ77" s="56"/>
      <c r="BI77" s="200">
        <v>9</v>
      </c>
      <c r="BJ77" s="200" t="s">
        <v>76</v>
      </c>
      <c r="BK77" s="201">
        <v>0.75187969924812026</v>
      </c>
      <c r="BL77" s="201">
        <v>0.24812030075187969</v>
      </c>
      <c r="BM77" s="201">
        <v>0</v>
      </c>
      <c r="BN77" s="201">
        <v>108.66666666666667</v>
      </c>
      <c r="BO77" s="202">
        <v>7.6451842319048797</v>
      </c>
    </row>
    <row r="78" spans="1:81">
      <c r="B78" s="227">
        <f>B74/E74</f>
        <v>0.53778789982464659</v>
      </c>
      <c r="C78" s="227">
        <f>C74/E74</f>
        <v>2.9045613823149283E-2</v>
      </c>
      <c r="D78" s="227">
        <f>D74/E74</f>
        <v>0.43316648635220412</v>
      </c>
      <c r="E78" s="173">
        <f>SUM(B78:D78)</f>
        <v>1</v>
      </c>
      <c r="F78" s="60">
        <v>0.37781723640536363</v>
      </c>
      <c r="G78" s="60"/>
      <c r="N78" s="1"/>
      <c r="AU78" s="56"/>
      <c r="AV78" s="93"/>
      <c r="AW78" s="90"/>
      <c r="AX78" s="90"/>
      <c r="AY78" s="56"/>
      <c r="AZ78" s="56"/>
      <c r="BI78" s="200">
        <v>10</v>
      </c>
      <c r="BJ78" s="200" t="s">
        <v>76</v>
      </c>
      <c r="BK78" s="201">
        <v>0.7246376811594204</v>
      </c>
      <c r="BL78" s="201">
        <v>0.27536231884057971</v>
      </c>
      <c r="BM78" s="201">
        <v>0</v>
      </c>
      <c r="BN78" s="201">
        <v>109.06666666666668</v>
      </c>
      <c r="BO78" s="202">
        <v>7.9120504049221863</v>
      </c>
    </row>
    <row r="79" spans="1:81">
      <c r="H79" s="172">
        <v>1166.6062049678781</v>
      </c>
      <c r="I79" s="172">
        <v>857.42869339389392</v>
      </c>
      <c r="J79" s="172">
        <v>1263.9572177672601</v>
      </c>
      <c r="N79" s="12"/>
      <c r="AU79" s="56"/>
      <c r="AV79" s="93"/>
      <c r="AW79" s="90"/>
      <c r="AX79" s="90"/>
      <c r="AY79" s="56"/>
      <c r="AZ79" s="56"/>
      <c r="BI79" s="200">
        <v>11</v>
      </c>
      <c r="BJ79" s="200" t="s">
        <v>76</v>
      </c>
      <c r="BK79" s="201">
        <v>0.69930069930069938</v>
      </c>
      <c r="BL79" s="201">
        <v>0.30069930069930073</v>
      </c>
      <c r="BM79" s="201">
        <v>0</v>
      </c>
      <c r="BN79" s="201">
        <v>108.96</v>
      </c>
      <c r="BO79" s="202">
        <v>8.1602546077984215</v>
      </c>
    </row>
    <row r="80" spans="1:81">
      <c r="H80" s="172">
        <v>1160.3832995847033</v>
      </c>
      <c r="I80" s="172">
        <v>833.21863251900015</v>
      </c>
      <c r="J80" s="172">
        <v>1385.5830953156512</v>
      </c>
      <c r="N80" s="2"/>
      <c r="AU80" s="56"/>
      <c r="AV80" s="93"/>
      <c r="AW80" s="90"/>
      <c r="AX80" s="90"/>
      <c r="AY80" s="56"/>
      <c r="AZ80" s="56"/>
      <c r="BI80" s="200">
        <v>12</v>
      </c>
      <c r="BJ80" s="200" t="s">
        <v>76</v>
      </c>
      <c r="BK80" s="201">
        <v>0.67567567567567566</v>
      </c>
      <c r="BL80" s="201">
        <v>0.32432432432432434</v>
      </c>
      <c r="BM80" s="201">
        <v>0</v>
      </c>
      <c r="BN80" s="201">
        <v>110.45333333333333</v>
      </c>
      <c r="BO80" s="202">
        <v>8.3916882564262636</v>
      </c>
    </row>
    <row r="81" spans="1:81">
      <c r="B81" s="172">
        <v>1763.9584874851973</v>
      </c>
      <c r="C81" s="172">
        <v>95.270378980760867</v>
      </c>
      <c r="D81" s="172">
        <v>1420.7974934807066</v>
      </c>
      <c r="N81" s="59"/>
      <c r="AU81" s="56"/>
      <c r="AV81" s="93"/>
      <c r="AW81" s="90"/>
      <c r="AX81" s="90"/>
      <c r="AY81" s="56"/>
      <c r="AZ81" s="56"/>
      <c r="BI81" s="200">
        <v>13</v>
      </c>
      <c r="BJ81" s="200" t="s">
        <v>76</v>
      </c>
      <c r="BK81" s="201">
        <v>0.65359477124183007</v>
      </c>
      <c r="BL81" s="201">
        <v>0.34640522875816993</v>
      </c>
      <c r="BM81" s="201">
        <v>0</v>
      </c>
      <c r="BN81" s="201">
        <v>110.53333333333335</v>
      </c>
      <c r="BO81" s="202">
        <v>8.6079955227908496</v>
      </c>
    </row>
    <row r="82" spans="1:81">
      <c r="N82" s="59"/>
      <c r="AC82" s="12"/>
      <c r="AU82" s="56"/>
      <c r="AV82" s="93"/>
      <c r="AW82" s="90"/>
      <c r="AX82" s="90"/>
      <c r="AY82" s="56"/>
      <c r="AZ82" s="56"/>
      <c r="BI82" s="200">
        <v>14</v>
      </c>
      <c r="BJ82" s="200" t="s">
        <v>76</v>
      </c>
      <c r="BK82" s="201">
        <v>0.75187969924812026</v>
      </c>
      <c r="BL82" s="201">
        <v>0.24812030075187969</v>
      </c>
      <c r="BM82" s="201">
        <v>0</v>
      </c>
      <c r="BN82" s="201">
        <v>108.58666666666666</v>
      </c>
      <c r="BO82" s="202">
        <v>7.6451842319048797</v>
      </c>
    </row>
    <row r="83" spans="1:81">
      <c r="N83" s="59"/>
      <c r="Z83" s="12"/>
      <c r="AA83" s="12"/>
      <c r="AB83" s="12"/>
      <c r="AC83" s="12"/>
      <c r="AD83" s="12"/>
      <c r="AU83" s="56"/>
      <c r="AV83" s="93"/>
      <c r="AW83" s="90"/>
      <c r="AX83" s="90"/>
      <c r="AY83" s="56"/>
      <c r="AZ83" s="56"/>
      <c r="BI83" s="200">
        <v>15</v>
      </c>
      <c r="BJ83" s="200" t="s">
        <v>76</v>
      </c>
      <c r="BK83" s="201">
        <v>0.7246376811594204</v>
      </c>
      <c r="BL83" s="201">
        <v>0.27536231884057971</v>
      </c>
      <c r="BM83" s="201">
        <v>0</v>
      </c>
      <c r="BN83" s="201">
        <v>112.05333333333334</v>
      </c>
      <c r="BO83" s="202">
        <v>7.9120504049221863</v>
      </c>
    </row>
    <row r="84" spans="1:81">
      <c r="N84" s="59"/>
      <c r="AU84" s="56"/>
      <c r="AV84" s="93"/>
      <c r="AW84" s="90"/>
      <c r="AX84" s="90"/>
      <c r="AY84" s="56"/>
      <c r="AZ84" s="56"/>
      <c r="BI84" s="200">
        <v>16</v>
      </c>
      <c r="BJ84" s="200" t="s">
        <v>76</v>
      </c>
      <c r="BK84" s="201">
        <v>0.69930069930069938</v>
      </c>
      <c r="BL84" s="201">
        <v>0.30069930069930073</v>
      </c>
      <c r="BM84" s="201">
        <v>0</v>
      </c>
      <c r="BN84" s="201">
        <v>110.69333333333334</v>
      </c>
      <c r="BO84" s="202">
        <v>8.1602546077984215</v>
      </c>
    </row>
    <row r="85" spans="1:81">
      <c r="A85" s="10" t="s">
        <v>20</v>
      </c>
      <c r="B85" s="5" t="s">
        <v>17</v>
      </c>
      <c r="C85" s="5" t="s">
        <v>4</v>
      </c>
      <c r="D85" s="5" t="s">
        <v>18</v>
      </c>
      <c r="E85" s="8" t="s">
        <v>19</v>
      </c>
      <c r="H85" s="28"/>
      <c r="I85" s="9"/>
      <c r="J85" s="32" t="s">
        <v>36</v>
      </c>
      <c r="K85" s="20"/>
      <c r="N85" s="59"/>
      <c r="AU85" s="56"/>
      <c r="AV85" s="93"/>
      <c r="AW85" s="90"/>
      <c r="AX85" s="90"/>
      <c r="AY85" s="56"/>
      <c r="AZ85" s="56"/>
      <c r="BI85" s="200">
        <v>17</v>
      </c>
      <c r="BJ85" s="200" t="s">
        <v>76</v>
      </c>
      <c r="BK85" s="201">
        <v>0.67567567567567566</v>
      </c>
      <c r="BL85" s="201">
        <v>0.32432432432432434</v>
      </c>
      <c r="BM85" s="201">
        <v>0</v>
      </c>
      <c r="BN85" s="201">
        <v>112.08</v>
      </c>
      <c r="BO85" s="202">
        <v>8.3916882564262636</v>
      </c>
    </row>
    <row r="86" spans="1:81" ht="25.5">
      <c r="A86" s="16">
        <v>7</v>
      </c>
      <c r="B86" s="7">
        <v>1503</v>
      </c>
      <c r="C86" s="7">
        <v>560</v>
      </c>
      <c r="D86" s="7">
        <v>1271</v>
      </c>
      <c r="E86" s="10">
        <f>B86+C86+D86</f>
        <v>3334</v>
      </c>
      <c r="H86" s="11" t="s">
        <v>16</v>
      </c>
      <c r="I86" s="29" t="s">
        <v>26</v>
      </c>
      <c r="J86" s="29" t="s">
        <v>27</v>
      </c>
      <c r="K86" s="31" t="s">
        <v>29</v>
      </c>
      <c r="N86" s="59"/>
      <c r="AU86" s="56"/>
      <c r="AV86" s="93"/>
      <c r="AW86" s="90"/>
      <c r="AX86" s="90"/>
      <c r="AY86" s="56"/>
      <c r="AZ86" s="56"/>
      <c r="BI86" s="200">
        <v>18</v>
      </c>
      <c r="BJ86" s="200" t="s">
        <v>76</v>
      </c>
      <c r="BK86" s="201">
        <v>0.65359477124183007</v>
      </c>
      <c r="BL86" s="201">
        <v>0.34640522875816993</v>
      </c>
      <c r="BM86" s="201">
        <v>0</v>
      </c>
      <c r="BN86" s="201">
        <v>111.44000000000001</v>
      </c>
      <c r="BO86" s="202">
        <v>8.6079955227908496</v>
      </c>
    </row>
    <row r="87" spans="1:81">
      <c r="H87" s="24">
        <v>1.5</v>
      </c>
      <c r="I87" s="101" t="e">
        <f>B$90*'Mix Design'!#REF!+'Mix Design'!#REF!*C$90+D$90*'Mix Design'!#REF!</f>
        <v>#REF!</v>
      </c>
      <c r="J87" s="102" t="e">
        <f>1-I87</f>
        <v>#REF!</v>
      </c>
      <c r="K87" s="68" t="e">
        <f>J87</f>
        <v>#REF!</v>
      </c>
      <c r="AU87" s="56"/>
      <c r="AV87" s="93"/>
      <c r="AW87" s="90"/>
      <c r="AX87" s="90"/>
      <c r="AY87" s="56"/>
      <c r="AZ87" s="56"/>
      <c r="BI87" s="200">
        <v>20</v>
      </c>
      <c r="BJ87" s="200" t="s">
        <v>76</v>
      </c>
      <c r="BK87" s="203">
        <v>0.86</v>
      </c>
      <c r="BL87" s="203">
        <v>0.14000000000000001</v>
      </c>
      <c r="BM87" s="201">
        <v>0</v>
      </c>
      <c r="BN87" s="201">
        <v>106.61333333333334</v>
      </c>
      <c r="BO87" s="202">
        <v>6.5860244151399527</v>
      </c>
    </row>
    <row r="88" spans="1:81">
      <c r="B88" s="17" t="s">
        <v>24</v>
      </c>
      <c r="C88" s="18"/>
      <c r="D88" s="19"/>
      <c r="H88" s="24">
        <v>1</v>
      </c>
      <c r="I88" s="101" t="e">
        <f>B$90*'Mix Design'!#REF!+'Mix Design'!#REF!*C$90+D$90*'Mix Design'!#REF!</f>
        <v>#REF!</v>
      </c>
      <c r="J88" s="74" t="e">
        <f>I87-I88</f>
        <v>#REF!</v>
      </c>
      <c r="K88" s="69" t="e">
        <f>J87+J88</f>
        <v>#REF!</v>
      </c>
      <c r="L88" s="36"/>
      <c r="BI88" s="200">
        <v>21</v>
      </c>
      <c r="BJ88" s="200" t="s">
        <v>76</v>
      </c>
      <c r="BK88" s="204">
        <v>0.76</v>
      </c>
      <c r="BL88" s="205">
        <v>0.24</v>
      </c>
      <c r="BM88" s="201">
        <v>0</v>
      </c>
      <c r="BN88" s="201">
        <v>108</v>
      </c>
      <c r="BO88" s="202">
        <v>7.5656367630518817</v>
      </c>
    </row>
    <row r="89" spans="1:81">
      <c r="B89" s="8" t="s">
        <v>14</v>
      </c>
      <c r="C89" s="5" t="s">
        <v>4</v>
      </c>
      <c r="D89" s="5" t="s">
        <v>18</v>
      </c>
      <c r="H89" s="25">
        <v>0.75</v>
      </c>
      <c r="I89" s="101" t="e">
        <f>B$90*'Mix Design'!#REF!+'Mix Design'!#REF!*C$90+D$90*'Mix Design'!#REF!</f>
        <v>#REF!</v>
      </c>
      <c r="J89" s="74" t="e">
        <f t="shared" ref="J89:J98" si="4">I88-I89</f>
        <v>#REF!</v>
      </c>
      <c r="K89" s="69" t="e">
        <f>J88+J89</f>
        <v>#REF!</v>
      </c>
      <c r="L89" s="36"/>
      <c r="BI89" s="200">
        <v>22</v>
      </c>
      <c r="BJ89" s="200" t="s">
        <v>76</v>
      </c>
      <c r="BK89" s="201">
        <v>0.66999999999999993</v>
      </c>
      <c r="BL89" s="201">
        <v>0.33</v>
      </c>
      <c r="BM89" s="201">
        <v>0</v>
      </c>
      <c r="BN89" s="201">
        <v>110.45333333333333</v>
      </c>
      <c r="BO89" s="202">
        <v>8.4472878761726164</v>
      </c>
    </row>
    <row r="90" spans="1:81">
      <c r="B90" s="88">
        <f>B86/E86</f>
        <v>0.4508098380323935</v>
      </c>
      <c r="C90" s="88">
        <f>C86/E86</f>
        <v>0.16796640671865626</v>
      </c>
      <c r="D90" s="88">
        <f>D86/E86</f>
        <v>0.38122375524895019</v>
      </c>
      <c r="H90" s="25">
        <v>0.5</v>
      </c>
      <c r="I90" s="101" t="e">
        <f>B$90*'Mix Design'!#REF!+'Mix Design'!#REF!*C$90+D$90*'Mix Design'!#REF!</f>
        <v>#REF!</v>
      </c>
      <c r="J90" s="74" t="e">
        <f t="shared" si="4"/>
        <v>#REF!</v>
      </c>
      <c r="K90" s="69" t="e">
        <f>K89+J90</f>
        <v>#REF!</v>
      </c>
      <c r="L90" s="36"/>
      <c r="BI90" s="200">
        <v>23</v>
      </c>
      <c r="BJ90" s="200" t="s">
        <v>76</v>
      </c>
      <c r="BK90" s="201">
        <v>0.64</v>
      </c>
      <c r="BL90" s="201">
        <v>0.36</v>
      </c>
      <c r="BM90" s="201">
        <v>0</v>
      </c>
      <c r="BN90" s="201">
        <v>108.93333333333334</v>
      </c>
      <c r="BO90" s="202">
        <v>8.741171580546192</v>
      </c>
    </row>
    <row r="91" spans="1:81">
      <c r="H91" s="10">
        <v>0.375</v>
      </c>
      <c r="I91" s="101" t="e">
        <f>B$90*'Mix Design'!#REF!+'Mix Design'!#REF!*C$90+D$90*'Mix Design'!#REF!</f>
        <v>#REF!</v>
      </c>
      <c r="J91" s="74" t="e">
        <f t="shared" si="4"/>
        <v>#REF!</v>
      </c>
      <c r="K91" s="100" t="e">
        <f t="shared" ref="K91:K98" si="5">K90+J91</f>
        <v>#REF!</v>
      </c>
      <c r="L91" s="36"/>
      <c r="BI91" s="200">
        <v>24</v>
      </c>
      <c r="BJ91" s="200" t="s">
        <v>76</v>
      </c>
      <c r="BK91" s="201">
        <v>0.62</v>
      </c>
      <c r="BL91" s="201">
        <v>0.38</v>
      </c>
      <c r="BM91" s="201">
        <v>0</v>
      </c>
      <c r="BN91" s="201">
        <v>108.32000000000001</v>
      </c>
      <c r="BO91" s="202">
        <v>8.9370940501285805</v>
      </c>
    </row>
    <row r="92" spans="1:81">
      <c r="H92" s="26" t="s">
        <v>2</v>
      </c>
      <c r="I92" s="101" t="e">
        <f>B$90*'Mix Design'!#REF!+'Mix Design'!#REF!*C$90+D$90*'Mix Design'!#REF!</f>
        <v>#REF!</v>
      </c>
      <c r="J92" s="74" t="e">
        <f t="shared" si="4"/>
        <v>#REF!</v>
      </c>
      <c r="K92" s="69" t="e">
        <f t="shared" si="5"/>
        <v>#REF!</v>
      </c>
      <c r="BI92" s="200">
        <v>25</v>
      </c>
      <c r="BJ92" s="200" t="s">
        <v>76</v>
      </c>
      <c r="BK92" s="201">
        <v>0.57000000000000006</v>
      </c>
      <c r="BL92" s="201">
        <v>0.43</v>
      </c>
      <c r="BM92" s="201">
        <v>0</v>
      </c>
      <c r="BN92" s="201">
        <v>109.60000000000002</v>
      </c>
      <c r="BO92" s="202">
        <v>9.4269002240845445</v>
      </c>
    </row>
    <row r="93" spans="1:81">
      <c r="H93" s="27" t="s">
        <v>5</v>
      </c>
      <c r="I93" s="121" t="e">
        <f>B$90*'Mix Design'!#REF!+'Mix Design'!#REF!*C$90+D$90*'Mix Design'!#REF!</f>
        <v>#REF!</v>
      </c>
      <c r="J93" s="74" t="e">
        <f t="shared" si="4"/>
        <v>#REF!</v>
      </c>
      <c r="K93" s="100" t="e">
        <f t="shared" si="5"/>
        <v>#REF!</v>
      </c>
      <c r="BI93" s="200">
        <v>26</v>
      </c>
      <c r="BJ93" s="200" t="s">
        <v>76</v>
      </c>
      <c r="BK93" s="201">
        <v>0.52</v>
      </c>
      <c r="BL93" s="201">
        <v>0.48</v>
      </c>
      <c r="BM93" s="201">
        <v>0</v>
      </c>
      <c r="BN93" s="201">
        <v>109.36000000000001</v>
      </c>
      <c r="BO93" s="202">
        <v>9.9167063980405086</v>
      </c>
    </row>
    <row r="94" spans="1:81">
      <c r="H94" s="27" t="s">
        <v>7</v>
      </c>
      <c r="I94" s="101" t="e">
        <f>B$90*'Mix Design'!C44+'Mix Design'!#REF!*C$90+D$90*'Mix Design'!#REF!</f>
        <v>#REF!</v>
      </c>
      <c r="J94" s="74" t="e">
        <f t="shared" si="4"/>
        <v>#REF!</v>
      </c>
      <c r="K94" s="69" t="e">
        <f t="shared" si="5"/>
        <v>#REF!</v>
      </c>
      <c r="BI94" s="200">
        <v>27</v>
      </c>
      <c r="BJ94" s="200" t="s">
        <v>76</v>
      </c>
      <c r="BK94" s="201">
        <v>0.48</v>
      </c>
      <c r="BL94" s="201">
        <v>0.52</v>
      </c>
      <c r="BM94" s="201">
        <v>0</v>
      </c>
      <c r="BN94" s="201">
        <v>111.68</v>
      </c>
      <c r="BO94" s="202">
        <v>10.308551337205278</v>
      </c>
      <c r="BX94" t="s">
        <v>183</v>
      </c>
    </row>
    <row r="95" spans="1:81" ht="15.75" thickBot="1">
      <c r="H95" s="27" t="s">
        <v>8</v>
      </c>
      <c r="I95" s="101" t="e">
        <f>B$90*'Mix Design'!C45+'Mix Design'!#REF!*C$90+D$90*'Mix Design'!#REF!</f>
        <v>#REF!</v>
      </c>
      <c r="J95" s="74" t="e">
        <f t="shared" si="4"/>
        <v>#REF!</v>
      </c>
      <c r="K95" s="69" t="e">
        <f t="shared" si="5"/>
        <v>#REF!</v>
      </c>
      <c r="BI95" s="206">
        <v>2</v>
      </c>
      <c r="BJ95" s="206" t="s">
        <v>17</v>
      </c>
      <c r="BK95" s="207">
        <v>1</v>
      </c>
      <c r="BL95" s="207">
        <v>0</v>
      </c>
      <c r="BM95" s="207">
        <v>0</v>
      </c>
      <c r="BN95" s="207">
        <v>100.85333333333335</v>
      </c>
      <c r="BO95" s="208">
        <v>5.214567128063254</v>
      </c>
    </row>
    <row r="96" spans="1:81" ht="19.5" thickTop="1" thickBot="1">
      <c r="H96" s="27" t="s">
        <v>9</v>
      </c>
      <c r="I96" s="101" t="e">
        <f>B$90*'Mix Design'!C46+'Mix Design'!#REF!*C$90+D$90*'Mix Design'!#REF!</f>
        <v>#REF!</v>
      </c>
      <c r="J96" s="74" t="e">
        <f t="shared" si="4"/>
        <v>#REF!</v>
      </c>
      <c r="K96" s="69" t="e">
        <f t="shared" si="5"/>
        <v>#REF!</v>
      </c>
      <c r="BI96" s="206">
        <v>19</v>
      </c>
      <c r="BJ96" s="206" t="s">
        <v>17</v>
      </c>
      <c r="BK96" s="207">
        <v>1</v>
      </c>
      <c r="BL96" s="207">
        <v>0</v>
      </c>
      <c r="BM96" s="207">
        <v>0</v>
      </c>
      <c r="BN96" s="207">
        <v>105.04</v>
      </c>
      <c r="BO96" s="208">
        <v>5.214567128063254</v>
      </c>
      <c r="BX96" s="382"/>
      <c r="BY96" s="383"/>
      <c r="BZ96" s="383"/>
      <c r="CA96" s="384"/>
      <c r="CB96" s="385"/>
      <c r="CC96" s="385"/>
    </row>
    <row r="97" spans="1:81" ht="18">
      <c r="H97" s="27" t="s">
        <v>10</v>
      </c>
      <c r="I97" s="101" t="e">
        <f>B$90*'Mix Design'!C47+'Mix Design'!#REF!*C$90+D$90*'Mix Design'!#REF!</f>
        <v>#REF!</v>
      </c>
      <c r="J97" s="74" t="e">
        <f t="shared" si="4"/>
        <v>#REF!</v>
      </c>
      <c r="K97" s="69" t="e">
        <f t="shared" si="5"/>
        <v>#REF!</v>
      </c>
      <c r="BI97" s="209">
        <v>3</v>
      </c>
      <c r="BJ97" s="209" t="s">
        <v>4</v>
      </c>
      <c r="BK97" s="210">
        <v>0</v>
      </c>
      <c r="BL97" s="210">
        <v>1</v>
      </c>
      <c r="BM97" s="210">
        <v>0</v>
      </c>
      <c r="BN97" s="210">
        <v>101.89333333333333</v>
      </c>
      <c r="BO97" s="211">
        <v>15.010690607182534</v>
      </c>
      <c r="BX97" s="396"/>
      <c r="BY97" s="386"/>
      <c r="BZ97" s="386"/>
      <c r="CA97" s="386"/>
      <c r="CB97" s="402"/>
      <c r="CC97" s="402"/>
    </row>
    <row r="98" spans="1:81" ht="18">
      <c r="H98" s="27" t="s">
        <v>12</v>
      </c>
      <c r="I98" s="101" t="e">
        <f>B$90*'Mix Design'!#REF!+'Mix Design'!#REF!*C$90+D$90*'Mix Design'!#REF!</f>
        <v>#REF!</v>
      </c>
      <c r="J98" s="74" t="e">
        <f t="shared" si="4"/>
        <v>#REF!</v>
      </c>
      <c r="K98" s="94" t="e">
        <f t="shared" si="5"/>
        <v>#REF!</v>
      </c>
      <c r="BI98" s="209">
        <v>28</v>
      </c>
      <c r="BJ98" s="209" t="s">
        <v>4</v>
      </c>
      <c r="BK98" s="210">
        <v>0</v>
      </c>
      <c r="BL98" s="210">
        <v>1</v>
      </c>
      <c r="BM98" s="210">
        <v>0</v>
      </c>
      <c r="BN98" s="210">
        <v>106</v>
      </c>
      <c r="BO98" s="211">
        <v>15.010690607182534</v>
      </c>
      <c r="BX98" s="388"/>
      <c r="BY98" s="389"/>
      <c r="BZ98" s="389"/>
      <c r="CA98" s="389"/>
      <c r="CB98" s="402"/>
      <c r="CC98" s="402"/>
    </row>
    <row r="99" spans="1:81" ht="18">
      <c r="BI99" s="212">
        <v>4</v>
      </c>
      <c r="BJ99" s="212" t="s">
        <v>18</v>
      </c>
      <c r="BK99" s="213">
        <v>0</v>
      </c>
      <c r="BL99" s="213">
        <v>0</v>
      </c>
      <c r="BM99" s="213">
        <v>1</v>
      </c>
      <c r="BN99" s="213">
        <v>111.76</v>
      </c>
      <c r="BO99" s="214">
        <v>50.701540474337186</v>
      </c>
      <c r="BX99" s="388"/>
      <c r="BY99" s="389"/>
      <c r="BZ99" s="389"/>
      <c r="CA99" s="389"/>
      <c r="CB99" s="402"/>
      <c r="CC99" s="402"/>
    </row>
    <row r="100" spans="1:81" ht="18">
      <c r="BI100" s="215">
        <v>33</v>
      </c>
      <c r="BJ100" s="215" t="s">
        <v>77</v>
      </c>
      <c r="BK100" s="216">
        <v>0.48447478528958382</v>
      </c>
      <c r="BL100" s="216">
        <v>0.19951552521471044</v>
      </c>
      <c r="BM100" s="216">
        <v>0.31490861043822949</v>
      </c>
      <c r="BN100" s="216">
        <v>132.02666666666667</v>
      </c>
      <c r="BO100" s="217">
        <v>21.489745926040243</v>
      </c>
      <c r="BX100" s="388"/>
      <c r="BY100" s="389"/>
      <c r="BZ100" s="389"/>
      <c r="CA100" s="389"/>
      <c r="CB100" s="402"/>
      <c r="CC100" s="402"/>
    </row>
    <row r="101" spans="1:81" ht="18">
      <c r="BI101" s="215">
        <v>32</v>
      </c>
      <c r="BJ101" s="215" t="s">
        <v>77</v>
      </c>
      <c r="BK101" s="216">
        <v>0.48479506390480392</v>
      </c>
      <c r="BL101" s="216">
        <v>0.16923754958131337</v>
      </c>
      <c r="BM101" s="216">
        <v>0.34596738651388281</v>
      </c>
      <c r="BN101" s="216">
        <v>133.65333333333334</v>
      </c>
      <c r="BO101" s="217">
        <v>22.609448350102411</v>
      </c>
      <c r="BX101" s="388"/>
      <c r="BY101" s="389"/>
      <c r="BZ101" s="389"/>
      <c r="CA101" s="389"/>
      <c r="CB101" s="402"/>
      <c r="CC101" s="402"/>
    </row>
    <row r="102" spans="1:81" ht="18.75" thickBot="1">
      <c r="AF102" s="28" t="s">
        <v>42</v>
      </c>
      <c r="AG102" s="16" t="s">
        <v>28</v>
      </c>
      <c r="AH102" s="12"/>
      <c r="AJ102" s="16" t="s">
        <v>20</v>
      </c>
      <c r="AK102" s="34" t="s">
        <v>33</v>
      </c>
      <c r="AL102" s="34" t="s">
        <v>34</v>
      </c>
      <c r="BI102" s="218">
        <v>30</v>
      </c>
      <c r="BJ102" s="218" t="s">
        <v>77</v>
      </c>
      <c r="BK102" s="219">
        <v>0.45372050816696918</v>
      </c>
      <c r="BL102" s="219">
        <v>0.19918330308529944</v>
      </c>
      <c r="BM102" s="219">
        <v>0.3470961887477314</v>
      </c>
      <c r="BN102" s="219">
        <v>131.49333333333334</v>
      </c>
      <c r="BO102" s="157">
        <v>22.954146446227011</v>
      </c>
      <c r="BX102" s="388"/>
      <c r="BY102" s="389"/>
      <c r="BZ102" s="389"/>
      <c r="CA102" s="389"/>
      <c r="CB102" s="402"/>
      <c r="CC102" s="402"/>
    </row>
    <row r="103" spans="1:81" ht="18.75" thickBot="1">
      <c r="AF103" s="16" t="s">
        <v>31</v>
      </c>
      <c r="AG103" s="88" t="e">
        <f>K91/K93</f>
        <v>#REF!</v>
      </c>
      <c r="AH103" s="12"/>
      <c r="AJ103" s="16">
        <v>7</v>
      </c>
      <c r="AK103" s="35">
        <v>290.22500000000002</v>
      </c>
      <c r="AL103" s="10">
        <v>156.27500000000001</v>
      </c>
      <c r="BI103" s="220">
        <v>34</v>
      </c>
      <c r="BJ103" s="221" t="s">
        <v>77</v>
      </c>
      <c r="BK103" s="222">
        <v>0.48447478528958382</v>
      </c>
      <c r="BL103" s="222">
        <v>0.13895617705351243</v>
      </c>
      <c r="BM103" s="222">
        <v>0.3765690376569038</v>
      </c>
      <c r="BN103" s="222">
        <v>136.08000000000001</v>
      </c>
      <c r="BO103" s="223">
        <v>23.704784775597435</v>
      </c>
      <c r="BX103" s="390"/>
      <c r="BY103" s="389"/>
      <c r="BZ103" s="389"/>
      <c r="CA103" s="389"/>
      <c r="CB103" s="402"/>
      <c r="CC103" s="402"/>
    </row>
    <row r="104" spans="1:81" ht="18">
      <c r="AC104" s="12"/>
      <c r="AF104" s="16" t="s">
        <v>32</v>
      </c>
      <c r="AG104" s="88" t="e">
        <f>(I93*100+2.5*((AK103+AL103)-564)/94)/100</f>
        <v>#REF!</v>
      </c>
      <c r="BI104" s="224">
        <v>29</v>
      </c>
      <c r="BJ104" s="224" t="s">
        <v>77</v>
      </c>
      <c r="BK104" s="225">
        <v>0.45392646391284608</v>
      </c>
      <c r="BL104" s="225">
        <v>0.1693145710394916</v>
      </c>
      <c r="BM104" s="225">
        <v>0.37675896504766226</v>
      </c>
      <c r="BN104" s="225">
        <v>131.09333333333333</v>
      </c>
      <c r="BO104" s="160">
        <v>24.010818573872992</v>
      </c>
      <c r="BQ104" s="240"/>
      <c r="BR104" s="240"/>
      <c r="BS104" s="240"/>
      <c r="BX104" s="390"/>
      <c r="BY104" s="389"/>
      <c r="BZ104" s="389"/>
      <c r="CA104" s="389"/>
      <c r="CB104" s="402"/>
      <c r="CC104" s="402"/>
    </row>
    <row r="105" spans="1:81" ht="18">
      <c r="S105" s="12"/>
      <c r="T105" s="58"/>
      <c r="U105" s="12"/>
      <c r="V105" s="12"/>
      <c r="W105" s="12"/>
      <c r="X105" s="91"/>
      <c r="Y105" s="91"/>
      <c r="Z105" s="12"/>
      <c r="BI105" s="215">
        <v>43</v>
      </c>
      <c r="BJ105" s="215" t="s">
        <v>77</v>
      </c>
      <c r="BK105" s="216">
        <v>0.42390843577787196</v>
      </c>
      <c r="BL105" s="216">
        <v>0.19923696481559983</v>
      </c>
      <c r="BM105" s="216">
        <v>0.37685459940652821</v>
      </c>
      <c r="BN105" s="216">
        <v>130.16</v>
      </c>
      <c r="BO105" s="217">
        <v>24.308292155627306</v>
      </c>
      <c r="BX105" s="390"/>
      <c r="BY105" s="389"/>
      <c r="BZ105" s="389"/>
      <c r="CA105" s="389"/>
      <c r="CB105" s="402"/>
      <c r="CC105" s="402"/>
    </row>
    <row r="106" spans="1:81" ht="18">
      <c r="S106" s="58"/>
      <c r="T106" s="84"/>
      <c r="U106" s="12"/>
      <c r="V106" s="12"/>
      <c r="W106" s="12"/>
      <c r="X106" s="92"/>
      <c r="Y106" s="12"/>
      <c r="Z106" s="12"/>
      <c r="BI106" s="215">
        <v>37</v>
      </c>
      <c r="BJ106" s="215" t="s">
        <v>77</v>
      </c>
      <c r="BK106" s="216">
        <v>0.42372881355932202</v>
      </c>
      <c r="BL106" s="216">
        <v>0.19915254237288135</v>
      </c>
      <c r="BM106" s="216">
        <v>0.3771186440677966</v>
      </c>
      <c r="BN106" s="216">
        <v>134.66666666666669</v>
      </c>
      <c r="BO106" s="217">
        <v>24.319475735423367</v>
      </c>
      <c r="BX106" s="390"/>
      <c r="BY106" s="389"/>
      <c r="BZ106" s="389"/>
      <c r="CA106" s="389"/>
      <c r="CB106" s="402"/>
      <c r="CC106" s="402"/>
    </row>
    <row r="107" spans="1:81" ht="18">
      <c r="S107" s="58"/>
      <c r="T107" s="84"/>
      <c r="U107" s="12"/>
      <c r="V107" s="12"/>
      <c r="W107" s="12"/>
      <c r="X107" s="12"/>
      <c r="Y107" s="12"/>
      <c r="Z107" s="12"/>
      <c r="BI107" s="215">
        <v>31</v>
      </c>
      <c r="BJ107" s="215" t="s">
        <v>77</v>
      </c>
      <c r="BK107" s="216">
        <v>0.4533091568449682</v>
      </c>
      <c r="BL107" s="216">
        <v>0.13871260199456029</v>
      </c>
      <c r="BM107" s="216">
        <v>0.40797824116047138</v>
      </c>
      <c r="BN107" s="216">
        <v>132.48000000000002</v>
      </c>
      <c r="BO107" s="217">
        <v>25.131108286837978</v>
      </c>
      <c r="BX107" s="390"/>
      <c r="BY107" s="389"/>
      <c r="BZ107" s="389"/>
      <c r="CA107" s="389"/>
      <c r="CB107" s="402"/>
      <c r="CC107" s="402"/>
    </row>
    <row r="108" spans="1:81" ht="18.75" thickBot="1">
      <c r="BI108" s="215">
        <v>35</v>
      </c>
      <c r="BJ108" s="215" t="s">
        <v>77</v>
      </c>
      <c r="BK108" s="216">
        <v>0.42390843577787196</v>
      </c>
      <c r="BL108" s="216">
        <v>0.16913946587537093</v>
      </c>
      <c r="BM108" s="216">
        <v>0.40695209834675711</v>
      </c>
      <c r="BN108" s="216">
        <v>135.62666666666669</v>
      </c>
      <c r="BO108" s="217">
        <v>25.382497471679859</v>
      </c>
      <c r="BX108" s="391"/>
      <c r="BY108" s="389"/>
      <c r="BZ108" s="389"/>
      <c r="CA108" s="389"/>
      <c r="CB108" s="402"/>
      <c r="CC108" s="402"/>
    </row>
    <row r="109" spans="1:81" ht="15.75" thickTop="1">
      <c r="BI109" s="215">
        <v>36</v>
      </c>
      <c r="BJ109" s="215" t="s">
        <v>77</v>
      </c>
      <c r="BK109" s="216">
        <v>0.42337002540220159</v>
      </c>
      <c r="BL109" s="216">
        <v>0.1384419983065199</v>
      </c>
      <c r="BM109" s="216">
        <v>0.43818797629127859</v>
      </c>
      <c r="BN109" s="216">
        <v>134.69333333333336</v>
      </c>
      <c r="BO109" s="217">
        <v>26.502606836389056</v>
      </c>
    </row>
    <row r="110" spans="1:81">
      <c r="BI110" s="226">
        <v>39</v>
      </c>
      <c r="BJ110" s="226" t="s">
        <v>78</v>
      </c>
      <c r="BK110" s="227">
        <v>0.61085972850678727</v>
      </c>
      <c r="BL110" s="227">
        <v>0</v>
      </c>
      <c r="BM110" s="227">
        <v>0.38914027149321262</v>
      </c>
      <c r="BN110" s="227">
        <v>133.14666666666668</v>
      </c>
      <c r="BO110" s="228">
        <v>22.915380285436818</v>
      </c>
    </row>
    <row r="111" spans="1:81" ht="15.75" thickBot="1">
      <c r="H111" s="33" t="s">
        <v>30</v>
      </c>
      <c r="I111" s="30"/>
      <c r="J111" s="30"/>
      <c r="K111" s="20"/>
      <c r="BI111" s="229">
        <v>38</v>
      </c>
      <c r="BJ111" s="229" t="s">
        <v>78</v>
      </c>
      <c r="BK111" s="230">
        <v>0.59734513274336276</v>
      </c>
      <c r="BL111" s="230">
        <v>0</v>
      </c>
      <c r="BM111" s="230">
        <v>0.40265486725663713</v>
      </c>
      <c r="BN111" s="230">
        <v>133.81333333333333</v>
      </c>
      <c r="BO111" s="231">
        <v>23.530118342713376</v>
      </c>
    </row>
    <row r="112" spans="1:81" ht="15.75" thickBot="1">
      <c r="A112" s="10" t="s">
        <v>20</v>
      </c>
      <c r="B112" s="5" t="s">
        <v>17</v>
      </c>
      <c r="C112" s="5" t="s">
        <v>4</v>
      </c>
      <c r="D112" s="5" t="s">
        <v>18</v>
      </c>
      <c r="E112" s="8" t="s">
        <v>19</v>
      </c>
      <c r="H112" s="28"/>
      <c r="I112" s="9"/>
      <c r="J112" s="32" t="s">
        <v>43</v>
      </c>
      <c r="K112" s="20"/>
      <c r="BI112" s="232">
        <v>40</v>
      </c>
      <c r="BJ112" s="233" t="s">
        <v>78</v>
      </c>
      <c r="BK112" s="234">
        <v>0.5818965517241379</v>
      </c>
      <c r="BL112" s="234">
        <v>0</v>
      </c>
      <c r="BM112" s="234">
        <v>0.41810344827586204</v>
      </c>
      <c r="BN112" s="234">
        <v>136.66666666666666</v>
      </c>
      <c r="BO112" s="235">
        <v>24.232827535772618</v>
      </c>
    </row>
    <row r="113" spans="1:67" ht="25.5">
      <c r="A113" s="16">
        <v>10</v>
      </c>
      <c r="B113" s="6">
        <v>1503</v>
      </c>
      <c r="C113" s="6">
        <v>560</v>
      </c>
      <c r="D113" s="6">
        <v>1260</v>
      </c>
      <c r="E113" s="10">
        <f>B113+C113+D113</f>
        <v>3323</v>
      </c>
      <c r="H113" s="11" t="s">
        <v>16</v>
      </c>
      <c r="I113" s="29" t="s">
        <v>26</v>
      </c>
      <c r="J113" s="29" t="s">
        <v>27</v>
      </c>
      <c r="K113" s="31" t="s">
        <v>29</v>
      </c>
      <c r="BI113" s="236">
        <v>41</v>
      </c>
      <c r="BJ113" s="236" t="s">
        <v>78</v>
      </c>
      <c r="BK113" s="237">
        <v>0.56657223796033995</v>
      </c>
      <c r="BL113" s="237">
        <v>0</v>
      </c>
      <c r="BM113" s="237">
        <v>0.43342776203966005</v>
      </c>
      <c r="BN113" s="237">
        <v>135.22666666666669</v>
      </c>
      <c r="BO113" s="238">
        <v>24.929884187496437</v>
      </c>
    </row>
    <row r="114" spans="1:67">
      <c r="H114" s="24">
        <v>1.5</v>
      </c>
      <c r="I114" s="101" t="e">
        <f>B$116*'Mix Design'!#REF!+'Mix Design'!#REF!*C$116+D$116*'Mix Design'!#REF!</f>
        <v>#REF!</v>
      </c>
      <c r="J114" s="102" t="e">
        <f>1-I114</f>
        <v>#REF!</v>
      </c>
      <c r="K114" s="68" t="e">
        <f>J114</f>
        <v>#REF!</v>
      </c>
      <c r="BI114" s="226">
        <v>42</v>
      </c>
      <c r="BJ114" s="226" t="s">
        <v>78</v>
      </c>
      <c r="BK114" s="227">
        <v>0.5524861878453039</v>
      </c>
      <c r="BL114" s="227">
        <v>0</v>
      </c>
      <c r="BM114" s="227">
        <v>0.44751381215469616</v>
      </c>
      <c r="BN114" s="227">
        <v>135.76000000000002</v>
      </c>
      <c r="BO114" s="228">
        <v>25.570615973633362</v>
      </c>
    </row>
    <row r="115" spans="1:67">
      <c r="B115" s="52" t="s">
        <v>24</v>
      </c>
      <c r="C115" s="53"/>
      <c r="D115" s="54"/>
      <c r="H115" s="24">
        <v>1</v>
      </c>
      <c r="I115" s="101" t="e">
        <f>B$116*'Mix Design'!#REF!+'Mix Design'!#REF!*C$116+D$116*'Mix Design'!#REF!</f>
        <v>#REF!</v>
      </c>
      <c r="J115" s="74" t="e">
        <f>I114-I115</f>
        <v>#REF!</v>
      </c>
      <c r="K115" s="69" t="e">
        <f>J114+J115</f>
        <v>#REF!</v>
      </c>
    </row>
    <row r="116" spans="1:67">
      <c r="B116" s="164">
        <f>B113/E113</f>
        <v>0.45230213662353297</v>
      </c>
      <c r="C116" s="164">
        <f>C113/E113</f>
        <v>0.16852241950045141</v>
      </c>
      <c r="D116" s="164">
        <f>D113/E113</f>
        <v>0.37917544387601565</v>
      </c>
      <c r="H116" s="25">
        <v>0.75</v>
      </c>
      <c r="I116" s="101" t="e">
        <f>B$116*'Mix Design'!#REF!+'Mix Design'!#REF!*C$116+D$116*'Mix Design'!#REF!</f>
        <v>#REF!</v>
      </c>
      <c r="J116" s="74" t="e">
        <f t="shared" ref="J116:J125" si="6">I115-I116</f>
        <v>#REF!</v>
      </c>
      <c r="K116" s="69" t="e">
        <f>J115+J116</f>
        <v>#REF!</v>
      </c>
    </row>
    <row r="117" spans="1:67">
      <c r="E117" s="56"/>
      <c r="H117" s="25">
        <v>0.5</v>
      </c>
      <c r="I117" s="101" t="e">
        <f>B$116*'Mix Design'!#REF!+'Mix Design'!#REF!*C$116+D$116*'Mix Design'!#REF!</f>
        <v>#REF!</v>
      </c>
      <c r="J117" s="74" t="e">
        <f t="shared" si="6"/>
        <v>#REF!</v>
      </c>
      <c r="K117" s="69" t="e">
        <f t="shared" ref="K117:K125" si="7">K116+J117</f>
        <v>#REF!</v>
      </c>
    </row>
    <row r="118" spans="1:67">
      <c r="E118" s="56"/>
      <c r="H118" s="10">
        <v>0.375</v>
      </c>
      <c r="I118" s="101" t="e">
        <f>B$116*'Mix Design'!#REF!+'Mix Design'!#REF!*C$116+D$116*'Mix Design'!#REF!</f>
        <v>#REF!</v>
      </c>
      <c r="J118" s="74" t="e">
        <f t="shared" si="6"/>
        <v>#REF!</v>
      </c>
      <c r="K118" s="100" t="e">
        <f t="shared" si="7"/>
        <v>#REF!</v>
      </c>
    </row>
    <row r="119" spans="1:67">
      <c r="E119" s="56"/>
      <c r="H119" s="26" t="s">
        <v>2</v>
      </c>
      <c r="I119" s="101" t="e">
        <f>B$116*'Mix Design'!#REF!+'Mix Design'!#REF!*C$116+D$116*'Mix Design'!#REF!</f>
        <v>#REF!</v>
      </c>
      <c r="J119" s="74" t="e">
        <f t="shared" si="6"/>
        <v>#REF!</v>
      </c>
      <c r="K119" s="69" t="e">
        <f t="shared" si="7"/>
        <v>#REF!</v>
      </c>
    </row>
    <row r="120" spans="1:67">
      <c r="E120" s="56"/>
      <c r="H120" s="27" t="s">
        <v>5</v>
      </c>
      <c r="I120" s="121" t="e">
        <f>B$116*'Mix Design'!#REF!+'Mix Design'!#REF!*C$116+D$116*'Mix Design'!#REF!</f>
        <v>#REF!</v>
      </c>
      <c r="J120" s="74" t="e">
        <f t="shared" si="6"/>
        <v>#REF!</v>
      </c>
      <c r="K120" s="100" t="e">
        <f t="shared" si="7"/>
        <v>#REF!</v>
      </c>
    </row>
    <row r="121" spans="1:67">
      <c r="E121" s="56"/>
      <c r="H121" s="27" t="s">
        <v>7</v>
      </c>
      <c r="I121" s="101" t="e">
        <f>B$116*'Mix Design'!C44+'Mix Design'!#REF!*C$116+D$116*'Mix Design'!#REF!</f>
        <v>#REF!</v>
      </c>
      <c r="J121" s="74" t="e">
        <f t="shared" si="6"/>
        <v>#REF!</v>
      </c>
      <c r="K121" s="69" t="e">
        <f t="shared" si="7"/>
        <v>#REF!</v>
      </c>
    </row>
    <row r="122" spans="1:67">
      <c r="E122" s="56"/>
      <c r="H122" s="27" t="s">
        <v>8</v>
      </c>
      <c r="I122" s="101" t="e">
        <f>B$116*'Mix Design'!C45+'Mix Design'!#REF!*C$116+D$116*'Mix Design'!#REF!</f>
        <v>#REF!</v>
      </c>
      <c r="J122" s="74" t="e">
        <f t="shared" si="6"/>
        <v>#REF!</v>
      </c>
      <c r="K122" s="69" t="e">
        <f t="shared" si="7"/>
        <v>#REF!</v>
      </c>
    </row>
    <row r="123" spans="1:67">
      <c r="E123" s="56"/>
      <c r="H123" s="27" t="s">
        <v>9</v>
      </c>
      <c r="I123" s="101" t="e">
        <f>B$116*'Mix Design'!C46+'Mix Design'!#REF!*C$116+D$116*'Mix Design'!#REF!</f>
        <v>#REF!</v>
      </c>
      <c r="J123" s="74" t="e">
        <f t="shared" si="6"/>
        <v>#REF!</v>
      </c>
      <c r="K123" s="69" t="e">
        <f t="shared" si="7"/>
        <v>#REF!</v>
      </c>
    </row>
    <row r="124" spans="1:67">
      <c r="E124" s="56"/>
      <c r="H124" s="27" t="s">
        <v>10</v>
      </c>
      <c r="I124" s="101" t="e">
        <f>B$116*'Mix Design'!C47+'Mix Design'!#REF!*C$116+D$116*'Mix Design'!#REF!</f>
        <v>#REF!</v>
      </c>
      <c r="J124" s="74" t="e">
        <f t="shared" si="6"/>
        <v>#REF!</v>
      </c>
      <c r="K124" s="69" t="e">
        <f t="shared" si="7"/>
        <v>#REF!</v>
      </c>
    </row>
    <row r="125" spans="1:67">
      <c r="E125" s="56"/>
      <c r="H125" s="27" t="s">
        <v>12</v>
      </c>
      <c r="I125" s="101" t="e">
        <f>B$116*'Mix Design'!#REF!+'Mix Design'!#REF!*C$116+D$116*'Mix Design'!#REF!</f>
        <v>#REF!</v>
      </c>
      <c r="J125" s="74" t="e">
        <f t="shared" si="6"/>
        <v>#REF!</v>
      </c>
      <c r="K125" s="94" t="e">
        <f t="shared" si="7"/>
        <v>#REF!</v>
      </c>
    </row>
    <row r="126" spans="1:67">
      <c r="E126" s="56"/>
    </row>
    <row r="127" spans="1:67">
      <c r="E127" s="56"/>
    </row>
    <row r="128" spans="1:67">
      <c r="E128" s="56"/>
    </row>
    <row r="130" spans="1:38">
      <c r="AF130" s="89" t="s">
        <v>42</v>
      </c>
      <c r="AG130" s="16" t="s">
        <v>28</v>
      </c>
      <c r="AH130" s="12"/>
      <c r="AJ130" s="10" t="s">
        <v>20</v>
      </c>
      <c r="AK130" s="10" t="s">
        <v>33</v>
      </c>
      <c r="AL130" s="10" t="s">
        <v>34</v>
      </c>
    </row>
    <row r="131" spans="1:38">
      <c r="AF131" s="16" t="s">
        <v>31</v>
      </c>
      <c r="AG131" s="88" t="e">
        <f>K118/K120</f>
        <v>#REF!</v>
      </c>
      <c r="AH131" s="12"/>
      <c r="AJ131" s="10">
        <v>3</v>
      </c>
      <c r="AK131" s="10">
        <v>290.2</v>
      </c>
      <c r="AL131" s="10">
        <v>156.19999999999999</v>
      </c>
    </row>
    <row r="132" spans="1:38">
      <c r="AF132" s="16" t="s">
        <v>32</v>
      </c>
      <c r="AG132" s="88" t="e">
        <f>(I120*100+2.5*((AK131+AL131)-564)/94)/100</f>
        <v>#REF!</v>
      </c>
      <c r="AH132" s="12"/>
    </row>
    <row r="136" spans="1:38">
      <c r="B136" s="154" t="s">
        <v>59</v>
      </c>
      <c r="C136" s="153" t="s">
        <v>57</v>
      </c>
      <c r="D136" s="155" t="s">
        <v>58</v>
      </c>
    </row>
    <row r="137" spans="1:38">
      <c r="A137" s="158">
        <v>14</v>
      </c>
      <c r="B137" s="159">
        <v>275</v>
      </c>
      <c r="C137" s="159">
        <v>148</v>
      </c>
      <c r="D137" s="159">
        <v>190.35</v>
      </c>
    </row>
    <row r="138" spans="1:38">
      <c r="H138" s="33" t="s">
        <v>30</v>
      </c>
      <c r="I138" s="30"/>
      <c r="J138" s="30"/>
      <c r="K138" s="20"/>
    </row>
    <row r="139" spans="1:38">
      <c r="A139" s="10" t="s">
        <v>20</v>
      </c>
      <c r="B139" s="5" t="s">
        <v>17</v>
      </c>
      <c r="C139" s="5" t="s">
        <v>4</v>
      </c>
      <c r="D139" s="5" t="s">
        <v>18</v>
      </c>
      <c r="E139" s="8" t="s">
        <v>19</v>
      </c>
      <c r="H139" s="28"/>
      <c r="I139" s="9"/>
      <c r="J139" s="32" t="s">
        <v>44</v>
      </c>
      <c r="K139" s="20"/>
    </row>
    <row r="140" spans="1:38" ht="25.5">
      <c r="A140" s="16">
        <v>14</v>
      </c>
      <c r="B140" s="7">
        <v>1626.8</v>
      </c>
      <c r="C140" s="7">
        <v>467</v>
      </c>
      <c r="D140" s="7">
        <v>1265.5999999999999</v>
      </c>
      <c r="E140" s="10">
        <f>SUM(B140:D140)</f>
        <v>3359.4</v>
      </c>
      <c r="H140" s="11" t="s">
        <v>16</v>
      </c>
      <c r="I140" s="29" t="s">
        <v>26</v>
      </c>
      <c r="J140" s="29" t="s">
        <v>27</v>
      </c>
      <c r="K140" s="31" t="s">
        <v>29</v>
      </c>
    </row>
    <row r="141" spans="1:38">
      <c r="H141" s="24">
        <v>1.5</v>
      </c>
      <c r="I141" s="101" t="e">
        <f>B$143*'Mix Design'!#REF!+'Mix Design'!#REF!*C$143+D$143*'Mix Design'!#REF!</f>
        <v>#REF!</v>
      </c>
      <c r="J141" s="102" t="e">
        <f>1-I141</f>
        <v>#REF!</v>
      </c>
      <c r="K141" s="68" t="e">
        <f>J141</f>
        <v>#REF!</v>
      </c>
    </row>
    <row r="142" spans="1:38">
      <c r="B142" s="52" t="s">
        <v>24</v>
      </c>
      <c r="C142" s="53"/>
      <c r="D142" s="54"/>
      <c r="H142" s="24">
        <v>1</v>
      </c>
      <c r="I142" s="101" t="e">
        <f>B$143*'Mix Design'!#REF!+'Mix Design'!#REF!*C$143+D$143*'Mix Design'!#REF!</f>
        <v>#REF!</v>
      </c>
      <c r="J142" s="74" t="e">
        <f>I141-I142</f>
        <v>#REF!</v>
      </c>
      <c r="K142" s="69" t="e">
        <f>J141+J142</f>
        <v>#REF!</v>
      </c>
    </row>
    <row r="143" spans="1:38">
      <c r="B143" s="143">
        <f>B140/E140</f>
        <v>0.4842531404417455</v>
      </c>
      <c r="C143" s="143">
        <f>C140/E140</f>
        <v>0.13901291897362625</v>
      </c>
      <c r="D143" s="143">
        <f>D140/E140</f>
        <v>0.37673394058462817</v>
      </c>
      <c r="F143" s="60"/>
      <c r="G143" s="60"/>
      <c r="H143" s="25">
        <v>0.75</v>
      </c>
      <c r="I143" s="101" t="e">
        <f>B$143*'Mix Design'!#REF!+'Mix Design'!#REF!*C$143+D$143*'Mix Design'!#REF!</f>
        <v>#REF!</v>
      </c>
      <c r="J143" s="74" t="e">
        <f t="shared" ref="J143:J152" si="8">I142-I143</f>
        <v>#REF!</v>
      </c>
      <c r="K143" s="69" t="e">
        <f>J142+J143</f>
        <v>#REF!</v>
      </c>
    </row>
    <row r="144" spans="1:38">
      <c r="F144" s="60"/>
      <c r="G144" s="60"/>
      <c r="H144" s="25">
        <v>0.5</v>
      </c>
      <c r="I144" s="101" t="e">
        <f>B$143*'Mix Design'!#REF!+'Mix Design'!#REF!*C$143+D$143*'Mix Design'!#REF!</f>
        <v>#REF!</v>
      </c>
      <c r="J144" s="74" t="e">
        <f t="shared" si="8"/>
        <v>#REF!</v>
      </c>
      <c r="K144" s="69" t="e">
        <f t="shared" ref="K144:K152" si="9">K143+J144</f>
        <v>#REF!</v>
      </c>
    </row>
    <row r="145" spans="1:38">
      <c r="B145" s="146" t="s">
        <v>51</v>
      </c>
      <c r="C145" s="50"/>
      <c r="D145" s="51"/>
      <c r="F145" s="60"/>
      <c r="G145" s="60"/>
      <c r="H145" s="10">
        <v>0.375</v>
      </c>
      <c r="I145" s="101" t="e">
        <f>B$143*'Mix Design'!#REF!+'Mix Design'!#REF!*C$143+D$143*'Mix Design'!#REF!</f>
        <v>#REF!</v>
      </c>
      <c r="J145" s="74" t="e">
        <f t="shared" si="8"/>
        <v>#REF!</v>
      </c>
      <c r="K145" s="100" t="e">
        <f t="shared" si="9"/>
        <v>#REF!</v>
      </c>
    </row>
    <row r="146" spans="1:38">
      <c r="A146" s="5" t="s">
        <v>17</v>
      </c>
      <c r="B146" s="5" t="s">
        <v>4</v>
      </c>
      <c r="C146" s="5" t="s">
        <v>18</v>
      </c>
      <c r="D146" s="8" t="s">
        <v>33</v>
      </c>
      <c r="E146" s="8" t="s">
        <v>55</v>
      </c>
      <c r="F146" s="125" t="s">
        <v>56</v>
      </c>
      <c r="G146" s="85"/>
      <c r="H146" s="26" t="s">
        <v>2</v>
      </c>
      <c r="I146" s="101" t="e">
        <f>B$143*'Mix Design'!#REF!+'Mix Design'!#REF!*C$143+D$143*'Mix Design'!#REF!</f>
        <v>#REF!</v>
      </c>
      <c r="J146" s="74" t="e">
        <f t="shared" si="8"/>
        <v>#REF!</v>
      </c>
      <c r="K146" s="69" t="e">
        <f t="shared" si="9"/>
        <v>#REF!</v>
      </c>
    </row>
    <row r="147" spans="1:38">
      <c r="A147" s="16">
        <v>2.65</v>
      </c>
      <c r="B147" s="16">
        <v>2.65</v>
      </c>
      <c r="C147" s="16">
        <v>2.65</v>
      </c>
      <c r="D147" s="16">
        <v>3.1</v>
      </c>
      <c r="E147" s="16">
        <v>2.5</v>
      </c>
      <c r="F147" s="148">
        <v>1</v>
      </c>
      <c r="G147" s="4"/>
      <c r="H147" s="27" t="s">
        <v>5</v>
      </c>
      <c r="I147" s="121" t="e">
        <f>B$143*'Mix Design'!#REF!+'Mix Design'!#REF!*C$143+D$143*'Mix Design'!#REF!</f>
        <v>#REF!</v>
      </c>
      <c r="J147" s="74" t="e">
        <f t="shared" si="8"/>
        <v>#REF!</v>
      </c>
      <c r="K147" s="100" t="e">
        <f t="shared" si="9"/>
        <v>#REF!</v>
      </c>
    </row>
    <row r="148" spans="1:38">
      <c r="F148" s="60"/>
      <c r="G148" s="60"/>
      <c r="H148" s="27" t="s">
        <v>7</v>
      </c>
      <c r="I148" s="101" t="e">
        <f>B$143*'Mix Design'!C44+'Mix Design'!#REF!*C$143+D$143*'Mix Design'!#REF!</f>
        <v>#REF!</v>
      </c>
      <c r="J148" s="74" t="e">
        <f t="shared" si="8"/>
        <v>#REF!</v>
      </c>
      <c r="K148" s="69" t="e">
        <f t="shared" si="9"/>
        <v>#REF!</v>
      </c>
    </row>
    <row r="149" spans="1:38">
      <c r="A149" s="147" t="s">
        <v>52</v>
      </c>
      <c r="B149" s="5" t="s">
        <v>17</v>
      </c>
      <c r="C149" s="5" t="s">
        <v>4</v>
      </c>
      <c r="D149" s="5" t="s">
        <v>18</v>
      </c>
      <c r="F149" s="60"/>
      <c r="G149" s="60"/>
      <c r="H149" s="27" t="s">
        <v>8</v>
      </c>
      <c r="I149" s="101" t="e">
        <f>B$143*'Mix Design'!C45+'Mix Design'!#REF!*C$143+D$143*'Mix Design'!#REF!</f>
        <v>#REF!</v>
      </c>
      <c r="J149" s="74" t="e">
        <f t="shared" si="8"/>
        <v>#REF!</v>
      </c>
      <c r="K149" s="69" t="e">
        <f t="shared" si="9"/>
        <v>#REF!</v>
      </c>
    </row>
    <row r="150" spans="1:38">
      <c r="A150" s="16" t="s">
        <v>53</v>
      </c>
      <c r="B150" s="161">
        <f>B140/A147/62.4</f>
        <v>9.8379293662312524</v>
      </c>
      <c r="C150" s="161">
        <f>C140/B147/62.4</f>
        <v>2.8241412675374939</v>
      </c>
      <c r="D150" s="161">
        <f>D140/C147/62.4</f>
        <v>7.6536042573778422</v>
      </c>
      <c r="E150" s="161">
        <f>SUM(B150:D150)</f>
        <v>20.315674891146589</v>
      </c>
      <c r="F150" s="60"/>
      <c r="G150" s="60"/>
      <c r="H150" s="27" t="s">
        <v>9</v>
      </c>
      <c r="I150" s="101" t="e">
        <f>B$143*'Mix Design'!C46+'Mix Design'!#REF!*C$143+D$143*'Mix Design'!#REF!</f>
        <v>#REF!</v>
      </c>
      <c r="J150" s="74" t="e">
        <f t="shared" si="8"/>
        <v>#REF!</v>
      </c>
      <c r="K150" s="69" t="e">
        <f t="shared" si="9"/>
        <v>#REF!</v>
      </c>
    </row>
    <row r="151" spans="1:38">
      <c r="F151" s="60"/>
      <c r="G151" s="60"/>
      <c r="H151" s="27" t="s">
        <v>10</v>
      </c>
      <c r="I151" s="101" t="e">
        <f>B$143*'Mix Design'!C47+'Mix Design'!#REF!*C$143+D$143*'Mix Design'!#REF!</f>
        <v>#REF!</v>
      </c>
      <c r="J151" s="74" t="e">
        <f t="shared" si="8"/>
        <v>#REF!</v>
      </c>
      <c r="K151" s="69" t="e">
        <f t="shared" si="9"/>
        <v>#REF!</v>
      </c>
    </row>
    <row r="152" spans="1:38">
      <c r="A152" s="147" t="s">
        <v>52</v>
      </c>
      <c r="B152" s="8" t="s">
        <v>33</v>
      </c>
      <c r="C152" s="8" t="s">
        <v>55</v>
      </c>
      <c r="D152" s="88" t="s">
        <v>56</v>
      </c>
      <c r="F152" s="60"/>
      <c r="G152" s="60"/>
      <c r="H152" s="27" t="s">
        <v>12</v>
      </c>
      <c r="I152" s="101" t="e">
        <f>B$143*'Mix Design'!#REF!+'Mix Design'!#REF!*C$143+D$143*'Mix Design'!#REF!</f>
        <v>#REF!</v>
      </c>
      <c r="J152" s="74" t="e">
        <f t="shared" si="8"/>
        <v>#REF!</v>
      </c>
      <c r="K152" s="94" t="e">
        <f t="shared" si="9"/>
        <v>#REF!</v>
      </c>
    </row>
    <row r="153" spans="1:38">
      <c r="A153" s="10" t="s">
        <v>54</v>
      </c>
      <c r="B153" s="161">
        <f>B137/D147/62.4</f>
        <v>1.4216294458229941</v>
      </c>
      <c r="C153" s="161">
        <f>C137/E147/62.4</f>
        <v>0.94871794871794879</v>
      </c>
      <c r="D153" s="161">
        <f>D137/F147/62.4</f>
        <v>3.0504807692307692</v>
      </c>
      <c r="E153" s="162">
        <f>SUM(B153:D153)</f>
        <v>5.4208281637717119</v>
      </c>
      <c r="F153" s="60"/>
      <c r="G153" s="60"/>
    </row>
    <row r="154" spans="1:38">
      <c r="A154" s="36" t="s">
        <v>61</v>
      </c>
      <c r="B154" s="162">
        <f>27-E150-E153</f>
        <v>1.2634969450816991</v>
      </c>
      <c r="C154" s="162"/>
      <c r="D154" s="162"/>
      <c r="E154" s="162"/>
      <c r="F154" s="60"/>
      <c r="G154" s="60"/>
    </row>
    <row r="155" spans="1:38">
      <c r="A155" t="s">
        <v>60</v>
      </c>
      <c r="B155" s="163">
        <f>B154/27</f>
        <v>4.6796183151174037E-2</v>
      </c>
    </row>
    <row r="158" spans="1:38">
      <c r="AF158" s="89" t="s">
        <v>42</v>
      </c>
      <c r="AG158" s="16" t="s">
        <v>28</v>
      </c>
      <c r="AH158" s="12"/>
      <c r="AJ158" s="16" t="s">
        <v>20</v>
      </c>
      <c r="AK158" s="34" t="s">
        <v>33</v>
      </c>
      <c r="AL158" s="34" t="s">
        <v>34</v>
      </c>
    </row>
    <row r="159" spans="1:38">
      <c r="AF159" s="16" t="s">
        <v>31</v>
      </c>
      <c r="AG159" s="88" t="e">
        <f>K145/K147</f>
        <v>#REF!</v>
      </c>
      <c r="AH159" s="12"/>
      <c r="AJ159" s="16">
        <v>14</v>
      </c>
      <c r="AK159" s="35">
        <v>275</v>
      </c>
      <c r="AL159" s="35">
        <v>148</v>
      </c>
    </row>
    <row r="160" spans="1:38">
      <c r="AF160" s="16" t="s">
        <v>32</v>
      </c>
      <c r="AG160" s="88" t="e">
        <f>(I147*100+2.5*((AK159+AL159)-564)/94)/100</f>
        <v>#REF!</v>
      </c>
    </row>
    <row r="162" spans="1:11">
      <c r="D162" s="146" t="s">
        <v>51</v>
      </c>
      <c r="E162" s="50"/>
      <c r="F162" s="51"/>
    </row>
    <row r="163" spans="1:11">
      <c r="A163" s="5" t="s">
        <v>17</v>
      </c>
      <c r="B163" s="5" t="s">
        <v>4</v>
      </c>
      <c r="C163" s="5" t="s">
        <v>18</v>
      </c>
      <c r="D163" s="8" t="s">
        <v>33</v>
      </c>
      <c r="E163" s="8" t="s">
        <v>55</v>
      </c>
      <c r="F163" s="125" t="s">
        <v>56</v>
      </c>
      <c r="H163" s="16" t="s">
        <v>20</v>
      </c>
      <c r="I163" s="166" t="s">
        <v>59</v>
      </c>
      <c r="J163" s="156" t="s">
        <v>57</v>
      </c>
      <c r="K163" s="152" t="s">
        <v>58</v>
      </c>
    </row>
    <row r="164" spans="1:11">
      <c r="A164" s="16">
        <v>2.65</v>
      </c>
      <c r="B164" s="16">
        <v>2.65</v>
      </c>
      <c r="C164" s="16">
        <v>2.65</v>
      </c>
      <c r="D164" s="16">
        <v>3.1</v>
      </c>
      <c r="E164" s="16">
        <v>2.5</v>
      </c>
      <c r="F164" s="148">
        <v>1</v>
      </c>
      <c r="H164" s="153">
        <v>15</v>
      </c>
      <c r="I164" s="167">
        <v>259.7</v>
      </c>
      <c r="J164" s="167">
        <v>139.80000000000001</v>
      </c>
      <c r="K164" s="167">
        <v>179.8</v>
      </c>
    </row>
    <row r="166" spans="1:11">
      <c r="H166" s="33" t="s">
        <v>30</v>
      </c>
      <c r="I166" s="30"/>
      <c r="J166" s="30"/>
      <c r="K166" s="20"/>
    </row>
    <row r="167" spans="1:11">
      <c r="A167" s="16" t="s">
        <v>20</v>
      </c>
      <c r="B167" s="5" t="s">
        <v>17</v>
      </c>
      <c r="C167" s="5" t="s">
        <v>4</v>
      </c>
      <c r="D167" s="5" t="s">
        <v>18</v>
      </c>
      <c r="E167" s="8" t="s">
        <v>19</v>
      </c>
      <c r="H167" s="28"/>
      <c r="I167" s="9"/>
      <c r="J167" s="32" t="s">
        <v>45</v>
      </c>
      <c r="K167" s="20"/>
    </row>
    <row r="168" spans="1:11" ht="18" customHeight="1">
      <c r="A168" s="16">
        <v>15</v>
      </c>
      <c r="B168" s="16">
        <v>1650.3</v>
      </c>
      <c r="C168" s="16">
        <v>473.6</v>
      </c>
      <c r="D168" s="16">
        <v>1283.9000000000001</v>
      </c>
      <c r="E168" s="16">
        <f>SUM(B168:D168)</f>
        <v>3407.8</v>
      </c>
      <c r="H168" s="11" t="s">
        <v>16</v>
      </c>
      <c r="I168" s="29" t="s">
        <v>26</v>
      </c>
      <c r="J168" s="29" t="s">
        <v>27</v>
      </c>
      <c r="K168" s="31" t="s">
        <v>29</v>
      </c>
    </row>
    <row r="169" spans="1:11">
      <c r="H169" s="24">
        <v>1.5</v>
      </c>
      <c r="I169" s="94" t="e">
        <f>B$171*'Mix Design'!#REF!+'Mix Design'!#REF!*C$171+D$171*'Mix Design'!#REF!</f>
        <v>#REF!</v>
      </c>
      <c r="J169" s="102" t="e">
        <f>1-I169</f>
        <v>#REF!</v>
      </c>
      <c r="K169" s="68" t="e">
        <f>J169</f>
        <v>#REF!</v>
      </c>
    </row>
    <row r="170" spans="1:11">
      <c r="B170" s="22" t="s">
        <v>24</v>
      </c>
      <c r="C170" s="44"/>
      <c r="D170" s="23"/>
      <c r="H170" s="24">
        <v>1</v>
      </c>
      <c r="I170" s="94" t="e">
        <f>B$171*'Mix Design'!#REF!+'Mix Design'!#REF!*C$171+D$171*'Mix Design'!#REF!</f>
        <v>#REF!</v>
      </c>
      <c r="J170" s="74" t="e">
        <f>I169-I170</f>
        <v>#REF!</v>
      </c>
      <c r="K170" s="69" t="e">
        <f>J169+J170</f>
        <v>#REF!</v>
      </c>
    </row>
    <row r="171" spans="1:11">
      <c r="B171" s="165">
        <f>B168/E168</f>
        <v>0.48427137742825277</v>
      </c>
      <c r="C171" s="165">
        <f>C168/E168</f>
        <v>0.13897529197722872</v>
      </c>
      <c r="D171" s="165">
        <f>D168/E168</f>
        <v>0.37675333059451849</v>
      </c>
      <c r="H171" s="25">
        <v>0.75</v>
      </c>
      <c r="I171" s="94" t="e">
        <f>B$171*'Mix Design'!#REF!+'Mix Design'!#REF!*C$171+D$171*'Mix Design'!#REF!</f>
        <v>#REF!</v>
      </c>
      <c r="J171" s="74" t="e">
        <f t="shared" ref="J171:J180" si="10">I170-I171</f>
        <v>#REF!</v>
      </c>
      <c r="K171" s="69" t="e">
        <f>J170+J171</f>
        <v>#REF!</v>
      </c>
    </row>
    <row r="172" spans="1:11">
      <c r="H172" s="25">
        <v>0.5</v>
      </c>
      <c r="I172" s="94" t="e">
        <f>B$171*'Mix Design'!#REF!+'Mix Design'!#REF!*C$171+D$171*'Mix Design'!#REF!</f>
        <v>#REF!</v>
      </c>
      <c r="J172" s="74" t="e">
        <f t="shared" si="10"/>
        <v>#REF!</v>
      </c>
      <c r="K172" s="69" t="e">
        <f>K171+J172</f>
        <v>#REF!</v>
      </c>
    </row>
    <row r="173" spans="1:11">
      <c r="A173" t="s">
        <v>64</v>
      </c>
      <c r="B173" s="168" t="s">
        <v>33</v>
      </c>
      <c r="C173" s="168" t="s">
        <v>55</v>
      </c>
      <c r="D173" s="68" t="s">
        <v>56</v>
      </c>
      <c r="E173" s="16" t="s">
        <v>65</v>
      </c>
      <c r="F173" s="16" t="s">
        <v>66</v>
      </c>
      <c r="H173" s="10">
        <v>0.375</v>
      </c>
      <c r="I173" s="94" t="e">
        <f>B$171*'Mix Design'!#REF!+'Mix Design'!#REF!*C$171+D$171*'Mix Design'!#REF!</f>
        <v>#REF!</v>
      </c>
      <c r="J173" s="74" t="e">
        <f t="shared" si="10"/>
        <v>#REF!</v>
      </c>
      <c r="K173" s="100" t="e">
        <f t="shared" ref="K173:K180" si="11">K172+J173</f>
        <v>#REF!</v>
      </c>
    </row>
    <row r="174" spans="1:11">
      <c r="A174" s="36" t="s">
        <v>63</v>
      </c>
      <c r="B174" s="161">
        <f>I164/D164/62.4</f>
        <v>1.3425351530190239</v>
      </c>
      <c r="C174" s="161">
        <f>J164/E164/62.4</f>
        <v>0.89615384615384619</v>
      </c>
      <c r="D174" s="161">
        <f>K164/F164/62.4</f>
        <v>2.8814102564102568</v>
      </c>
      <c r="E174" s="16">
        <f>4.5/100*27</f>
        <v>1.2149999999999999</v>
      </c>
      <c r="F174" s="161">
        <f>SUM(B174:E174)</f>
        <v>6.3350992555831267</v>
      </c>
      <c r="H174" s="26" t="s">
        <v>2</v>
      </c>
      <c r="I174" s="94" t="e">
        <f>B$171*'Mix Design'!#REF!+'Mix Design'!#REF!*C$171+D$171*'Mix Design'!#REF!</f>
        <v>#REF!</v>
      </c>
      <c r="J174" s="74" t="e">
        <f t="shared" si="10"/>
        <v>#REF!</v>
      </c>
      <c r="K174" s="69" t="e">
        <f t="shared" si="11"/>
        <v>#REF!</v>
      </c>
    </row>
    <row r="175" spans="1:11">
      <c r="H175" s="27" t="s">
        <v>5</v>
      </c>
      <c r="I175" s="128" t="e">
        <f>B$171*'Mix Design'!#REF!+'Mix Design'!#REF!*C$171+D$171*'Mix Design'!#REF!</f>
        <v>#REF!</v>
      </c>
      <c r="J175" s="74" t="e">
        <f t="shared" si="10"/>
        <v>#REF!</v>
      </c>
      <c r="K175" s="100" t="e">
        <f t="shared" si="11"/>
        <v>#REF!</v>
      </c>
    </row>
    <row r="176" spans="1:11">
      <c r="B176" s="16" t="s">
        <v>66</v>
      </c>
      <c r="C176" s="169" t="s">
        <v>17</v>
      </c>
      <c r="D176" s="5" t="s">
        <v>4</v>
      </c>
      <c r="E176" s="5" t="s">
        <v>18</v>
      </c>
      <c r="H176" s="27" t="s">
        <v>7</v>
      </c>
      <c r="I176" s="94" t="e">
        <f>B$171*'Mix Design'!C44+'Mix Design'!#REF!*C$171+D$171*'Mix Design'!#REF!</f>
        <v>#REF!</v>
      </c>
      <c r="J176" s="74" t="e">
        <f t="shared" si="10"/>
        <v>#REF!</v>
      </c>
      <c r="K176" s="69" t="e">
        <f t="shared" si="11"/>
        <v>#REF!</v>
      </c>
    </row>
    <row r="177" spans="1:38">
      <c r="A177" t="s">
        <v>62</v>
      </c>
      <c r="B177" s="161">
        <f>27-F174</f>
        <v>20.664900744416872</v>
      </c>
      <c r="H177" s="27" t="s">
        <v>8</v>
      </c>
      <c r="I177" s="94" t="e">
        <f>B$171*'Mix Design'!C45+'Mix Design'!#REF!*C$171+D$171*'Mix Design'!#REF!</f>
        <v>#REF!</v>
      </c>
      <c r="J177" s="74" t="e">
        <f t="shared" si="10"/>
        <v>#REF!</v>
      </c>
      <c r="K177" s="69" t="e">
        <f t="shared" si="11"/>
        <v>#REF!</v>
      </c>
    </row>
    <row r="178" spans="1:38">
      <c r="H178" s="27" t="s">
        <v>9</v>
      </c>
      <c r="I178" s="94" t="e">
        <f>B$171*'Mix Design'!C46+'Mix Design'!#REF!*C$171+D$171*'Mix Design'!#REF!</f>
        <v>#REF!</v>
      </c>
      <c r="J178" s="74" t="e">
        <f t="shared" si="10"/>
        <v>#REF!</v>
      </c>
      <c r="K178" s="69" t="e">
        <f t="shared" si="11"/>
        <v>#REF!</v>
      </c>
    </row>
    <row r="179" spans="1:38">
      <c r="H179" s="27" t="s">
        <v>10</v>
      </c>
      <c r="I179" s="94" t="e">
        <f>B$171*'Mix Design'!C47+'Mix Design'!#REF!*C$171+D$171*'Mix Design'!#REF!</f>
        <v>#REF!</v>
      </c>
      <c r="J179" s="74" t="e">
        <f t="shared" si="10"/>
        <v>#REF!</v>
      </c>
      <c r="K179" s="69" t="e">
        <f t="shared" si="11"/>
        <v>#REF!</v>
      </c>
    </row>
    <row r="180" spans="1:38">
      <c r="H180" s="27" t="s">
        <v>12</v>
      </c>
      <c r="I180" s="94" t="e">
        <f>B$171*'Mix Design'!#REF!+'Mix Design'!#REF!*C$171+D$171*'Mix Design'!#REF!</f>
        <v>#REF!</v>
      </c>
      <c r="J180" s="74" t="e">
        <f t="shared" si="10"/>
        <v>#REF!</v>
      </c>
      <c r="K180" s="94" t="e">
        <f t="shared" si="11"/>
        <v>#REF!</v>
      </c>
    </row>
    <row r="186" spans="1:38">
      <c r="AF186" s="89" t="s">
        <v>42</v>
      </c>
      <c r="AG186" s="16" t="s">
        <v>28</v>
      </c>
      <c r="AH186" s="12"/>
      <c r="AJ186" s="16" t="s">
        <v>20</v>
      </c>
      <c r="AK186" s="10" t="s">
        <v>33</v>
      </c>
      <c r="AL186" s="10" t="s">
        <v>34</v>
      </c>
    </row>
    <row r="187" spans="1:38">
      <c r="AF187" s="16" t="s">
        <v>31</v>
      </c>
      <c r="AG187" s="88" t="e">
        <f>K173/K175</f>
        <v>#REF!</v>
      </c>
      <c r="AH187" s="12"/>
      <c r="AJ187" s="16">
        <v>15</v>
      </c>
      <c r="AK187" s="35">
        <v>259.7</v>
      </c>
      <c r="AL187" s="35">
        <v>139.80000000000001</v>
      </c>
    </row>
    <row r="188" spans="1:38">
      <c r="AF188" s="16" t="s">
        <v>32</v>
      </c>
      <c r="AG188" s="88" t="e">
        <f>(I175*100+2.5*((AK187+AL187)-564)/94)/100</f>
        <v>#REF!</v>
      </c>
      <c r="AH188" s="12"/>
    </row>
    <row r="195" spans="1:71">
      <c r="H195" s="123" t="s">
        <v>30</v>
      </c>
      <c r="I195" s="50"/>
      <c r="J195" s="50"/>
      <c r="K195" s="51"/>
    </row>
    <row r="196" spans="1:71">
      <c r="A196" s="10" t="s">
        <v>20</v>
      </c>
      <c r="B196" s="5" t="s">
        <v>17</v>
      </c>
      <c r="C196" s="5" t="s">
        <v>4</v>
      </c>
      <c r="D196" s="5" t="s">
        <v>18</v>
      </c>
      <c r="E196" s="8" t="s">
        <v>19</v>
      </c>
      <c r="H196" s="28"/>
      <c r="I196" s="41"/>
      <c r="J196" s="41" t="s">
        <v>46</v>
      </c>
      <c r="K196" s="42"/>
    </row>
    <row r="197" spans="1:71" ht="26.25">
      <c r="A197" s="10">
        <v>17</v>
      </c>
      <c r="B197" s="10">
        <v>1913.6</v>
      </c>
      <c r="C197" s="10">
        <v>0</v>
      </c>
      <c r="D197" s="10">
        <v>1375</v>
      </c>
      <c r="E197" s="10">
        <f>SUM(B197:D197)</f>
        <v>3288.6</v>
      </c>
      <c r="H197" s="124" t="s">
        <v>16</v>
      </c>
      <c r="I197" s="122" t="s">
        <v>26</v>
      </c>
      <c r="J197" t="s">
        <v>27</v>
      </c>
      <c r="K197" s="10" t="s">
        <v>29</v>
      </c>
    </row>
    <row r="198" spans="1:71">
      <c r="H198" s="39">
        <v>1.5</v>
      </c>
      <c r="I198" s="69" t="e">
        <f>B$200*'Mix Design'!#REF!+'Mix Design'!#REF!*C$200+D$200*'Mix Design'!#REF!</f>
        <v>#REF!</v>
      </c>
      <c r="J198" s="102" t="e">
        <f>1-I198</f>
        <v>#REF!</v>
      </c>
      <c r="K198" s="68" t="e">
        <f>J198</f>
        <v>#REF!</v>
      </c>
    </row>
    <row r="199" spans="1:71">
      <c r="B199" s="22" t="s">
        <v>24</v>
      </c>
      <c r="C199" s="44"/>
      <c r="D199" s="23"/>
      <c r="H199" s="39">
        <v>1</v>
      </c>
      <c r="I199" s="69" t="e">
        <f>B$200*'Mix Design'!#REF!+'Mix Design'!#REF!*C$200+D$200*'Mix Design'!#REF!</f>
        <v>#REF!</v>
      </c>
      <c r="J199" s="74" t="e">
        <f>I198-I199</f>
        <v>#REF!</v>
      </c>
      <c r="K199" s="69" t="e">
        <f>K198+J199</f>
        <v>#REF!</v>
      </c>
    </row>
    <row r="200" spans="1:71">
      <c r="B200" s="164">
        <f>B197/E197</f>
        <v>0.58188894970504168</v>
      </c>
      <c r="C200" s="164">
        <f>C197/E197</f>
        <v>0</v>
      </c>
      <c r="D200" s="164">
        <f>D197/E197</f>
        <v>0.41811105029495838</v>
      </c>
      <c r="H200" s="39">
        <v>0.75</v>
      </c>
      <c r="I200" s="69" t="e">
        <f>B$200*'Mix Design'!#REF!+'Mix Design'!#REF!*C$200+D$200*'Mix Design'!#REF!</f>
        <v>#REF!</v>
      </c>
      <c r="J200" s="74" t="e">
        <f t="shared" ref="J200:J209" si="12">I199-I200</f>
        <v>#REF!</v>
      </c>
      <c r="K200" s="69" t="e">
        <f t="shared" ref="K200:K209" si="13">K199+J200</f>
        <v>#REF!</v>
      </c>
    </row>
    <row r="201" spans="1:71">
      <c r="H201" s="39">
        <v>0.5</v>
      </c>
      <c r="I201" s="69" t="e">
        <f>B$200*'Mix Design'!#REF!+'Mix Design'!#REF!*C$200+D$200*'Mix Design'!#REF!</f>
        <v>#REF!</v>
      </c>
      <c r="J201" s="74" t="e">
        <f t="shared" si="12"/>
        <v>#REF!</v>
      </c>
      <c r="K201" s="69" t="e">
        <f t="shared" si="13"/>
        <v>#REF!</v>
      </c>
    </row>
    <row r="202" spans="1:71">
      <c r="H202" s="39">
        <v>0.375</v>
      </c>
      <c r="I202" s="69" t="e">
        <f>B$200*'Mix Design'!#REF!+'Mix Design'!#REF!*C$200+D$200*'Mix Design'!#REF!</f>
        <v>#REF!</v>
      </c>
      <c r="J202" s="74" t="e">
        <f t="shared" si="12"/>
        <v>#REF!</v>
      </c>
      <c r="K202" s="100" t="e">
        <f t="shared" si="13"/>
        <v>#REF!</v>
      </c>
    </row>
    <row r="203" spans="1:71">
      <c r="H203" s="39" t="s">
        <v>2</v>
      </c>
      <c r="I203" s="69" t="e">
        <f>B$200*'Mix Design'!#REF!+'Mix Design'!#REF!*C$200+D$200*'Mix Design'!#REF!</f>
        <v>#REF!</v>
      </c>
      <c r="J203" s="74" t="e">
        <f t="shared" si="12"/>
        <v>#REF!</v>
      </c>
      <c r="K203" s="69" t="e">
        <f t="shared" si="13"/>
        <v>#REF!</v>
      </c>
    </row>
    <row r="204" spans="1:71">
      <c r="H204" s="39" t="s">
        <v>5</v>
      </c>
      <c r="I204" s="103" t="e">
        <f>B$200*'Mix Design'!#REF!+'Mix Design'!#REF!*C$200+D$200*'Mix Design'!#REF!</f>
        <v>#REF!</v>
      </c>
      <c r="J204" s="74" t="e">
        <f t="shared" si="12"/>
        <v>#REF!</v>
      </c>
      <c r="K204" s="100" t="e">
        <f t="shared" si="13"/>
        <v>#REF!</v>
      </c>
    </row>
    <row r="205" spans="1:71">
      <c r="H205" s="39" t="s">
        <v>7</v>
      </c>
      <c r="I205" s="69" t="e">
        <f>B$200*'Mix Design'!C44+'Mix Design'!#REF!*C$200+D$200*'Mix Design'!#REF!</f>
        <v>#REF!</v>
      </c>
      <c r="J205" s="74" t="e">
        <f t="shared" si="12"/>
        <v>#REF!</v>
      </c>
      <c r="K205" s="69" t="e">
        <f t="shared" si="13"/>
        <v>#REF!</v>
      </c>
    </row>
    <row r="206" spans="1:71">
      <c r="H206" s="39" t="s">
        <v>8</v>
      </c>
      <c r="I206" s="69" t="e">
        <f>B$200*'Mix Design'!C45+'Mix Design'!#REF!*C$200+D$200*'Mix Design'!#REF!</f>
        <v>#REF!</v>
      </c>
      <c r="J206" s="74" t="e">
        <f t="shared" si="12"/>
        <v>#REF!</v>
      </c>
      <c r="K206" s="69" t="e">
        <f t="shared" si="13"/>
        <v>#REF!</v>
      </c>
    </row>
    <row r="207" spans="1:71">
      <c r="H207" s="39" t="s">
        <v>9</v>
      </c>
      <c r="I207" s="69" t="e">
        <f>B$200*'Mix Design'!C46+'Mix Design'!#REF!*C$200+D$200*'Mix Design'!#REF!</f>
        <v>#REF!</v>
      </c>
      <c r="J207" s="74" t="e">
        <f t="shared" si="12"/>
        <v>#REF!</v>
      </c>
      <c r="K207" s="69" t="e">
        <f t="shared" si="13"/>
        <v>#REF!</v>
      </c>
      <c r="BQ207" s="12"/>
      <c r="BR207" s="12"/>
      <c r="BS207" s="12"/>
    </row>
    <row r="208" spans="1:71">
      <c r="H208" s="39" t="s">
        <v>10</v>
      </c>
      <c r="I208" s="69" t="e">
        <f>B$200*'Mix Design'!C47+'Mix Design'!#REF!*C$200+D$200*'Mix Design'!#REF!</f>
        <v>#REF!</v>
      </c>
      <c r="J208" s="74" t="e">
        <f t="shared" si="12"/>
        <v>#REF!</v>
      </c>
      <c r="K208" s="69" t="e">
        <f t="shared" si="13"/>
        <v>#REF!</v>
      </c>
      <c r="BQ208" s="12"/>
      <c r="BR208" s="58"/>
      <c r="BS208" s="58"/>
    </row>
    <row r="209" spans="1:111">
      <c r="H209" s="40" t="s">
        <v>12</v>
      </c>
      <c r="I209" s="69" t="e">
        <f>B$200*'Mix Design'!#REF!+'Mix Design'!#REF!*C$200+D$200*'Mix Design'!#REF!</f>
        <v>#REF!</v>
      </c>
      <c r="J209" s="74" t="e">
        <f t="shared" si="12"/>
        <v>#REF!</v>
      </c>
      <c r="K209" s="69" t="e">
        <f t="shared" si="13"/>
        <v>#REF!</v>
      </c>
      <c r="BQ209" s="301"/>
      <c r="BR209" s="14"/>
      <c r="BS209" s="12"/>
    </row>
    <row r="210" spans="1:111">
      <c r="BQ210" s="58"/>
      <c r="BR210" s="14"/>
      <c r="BS210" s="12"/>
    </row>
    <row r="211" spans="1:111">
      <c r="BQ211" s="58"/>
      <c r="BR211" s="1"/>
      <c r="BS211" s="12"/>
    </row>
    <row r="212" spans="1:111">
      <c r="BJ212" s="56"/>
      <c r="BK212" s="56"/>
      <c r="BL212" s="56"/>
      <c r="BM212" s="56"/>
      <c r="BN212" s="56"/>
      <c r="BO212" s="56"/>
      <c r="BP212" s="56"/>
      <c r="BQ212" s="93"/>
      <c r="BR212" s="1"/>
      <c r="BS212" s="56"/>
      <c r="BT212" s="56"/>
      <c r="BU212" s="56"/>
      <c r="BV212" s="56"/>
      <c r="BW212" s="56"/>
      <c r="BX212" s="56"/>
      <c r="BY212" s="56"/>
      <c r="BZ212" s="56"/>
      <c r="CA212" s="56"/>
      <c r="CB212" s="56"/>
      <c r="CC212" s="56"/>
      <c r="CD212" s="56"/>
      <c r="CE212" s="56"/>
      <c r="CF212" s="56"/>
      <c r="CG212" s="56"/>
      <c r="CH212" s="56"/>
      <c r="CI212" s="56"/>
      <c r="CJ212" s="56"/>
      <c r="CK212" s="56"/>
      <c r="CL212" s="56"/>
      <c r="CM212" s="56"/>
      <c r="CN212" s="56"/>
      <c r="CO212" s="56"/>
      <c r="CP212" s="56"/>
      <c r="CQ212" s="56"/>
      <c r="CR212" s="56"/>
      <c r="CS212" s="56"/>
      <c r="CT212" s="56"/>
      <c r="CU212" s="56"/>
      <c r="CV212" s="56"/>
      <c r="CW212" s="56"/>
      <c r="CX212" s="56"/>
      <c r="CY212" s="56"/>
      <c r="CZ212" s="56"/>
      <c r="DA212" s="56"/>
      <c r="DB212" s="56"/>
      <c r="DC212" s="56"/>
      <c r="DD212" s="56"/>
      <c r="DE212" s="56"/>
      <c r="DF212" s="56"/>
      <c r="DG212" s="56"/>
    </row>
    <row r="213" spans="1:111">
      <c r="BJ213" s="56"/>
      <c r="BK213" s="56"/>
      <c r="BL213" s="56"/>
      <c r="BM213" s="56"/>
      <c r="BN213" s="56"/>
      <c r="BO213" s="56"/>
      <c r="BP213" s="56"/>
      <c r="BQ213" s="93"/>
      <c r="BR213" s="56"/>
      <c r="BS213" s="56"/>
      <c r="BT213" s="56"/>
      <c r="BU213" s="56"/>
      <c r="BV213" s="56"/>
      <c r="BW213" s="56"/>
      <c r="BX213" s="56"/>
      <c r="BY213" s="56"/>
      <c r="BZ213" s="56"/>
      <c r="CA213" s="56"/>
      <c r="CB213" s="56"/>
      <c r="CC213" s="56"/>
      <c r="CD213" s="56"/>
      <c r="CE213" s="56"/>
      <c r="CF213" s="56"/>
      <c r="CG213" s="56"/>
      <c r="CH213" s="56"/>
      <c r="CI213" s="56"/>
      <c r="CJ213" s="56"/>
      <c r="CK213" s="56"/>
      <c r="CL213" s="56"/>
      <c r="CM213" s="56"/>
      <c r="CN213" s="56"/>
      <c r="CO213" s="56"/>
      <c r="CP213" s="56"/>
      <c r="CQ213" s="56"/>
      <c r="CR213" s="56"/>
      <c r="CS213" s="56"/>
      <c r="CT213" s="56"/>
      <c r="CU213" s="56"/>
      <c r="CV213" s="56"/>
      <c r="CW213" s="56"/>
      <c r="CX213" s="56"/>
      <c r="CY213" s="56"/>
      <c r="CZ213" s="56"/>
      <c r="DA213" s="56"/>
      <c r="DB213" s="56"/>
      <c r="DC213" s="56"/>
      <c r="DD213" s="56"/>
      <c r="DE213" s="56"/>
      <c r="DF213" s="56"/>
      <c r="DG213" s="56"/>
    </row>
    <row r="214" spans="1:111">
      <c r="BJ214" s="56"/>
      <c r="BK214" s="56"/>
      <c r="BL214" s="56"/>
      <c r="BM214" s="56"/>
      <c r="BN214" s="56"/>
      <c r="BO214" s="56"/>
      <c r="BP214" s="56"/>
      <c r="BQ214" s="175"/>
      <c r="BR214" s="56"/>
      <c r="BS214" s="56"/>
      <c r="BT214" s="56"/>
      <c r="BU214" s="56"/>
      <c r="BV214" s="56"/>
      <c r="BW214" s="56"/>
      <c r="BX214" s="56"/>
      <c r="BY214" s="56"/>
      <c r="BZ214" s="56"/>
      <c r="CA214" s="56"/>
      <c r="CB214" s="56"/>
      <c r="CC214" s="56"/>
      <c r="CD214" s="56"/>
      <c r="CE214" s="56"/>
      <c r="CF214" s="56"/>
      <c r="CG214" s="56"/>
      <c r="CH214" s="56"/>
      <c r="CI214" s="56"/>
      <c r="CJ214" s="56"/>
      <c r="CK214" s="56"/>
      <c r="CL214" s="56"/>
      <c r="CM214" s="56"/>
      <c r="CN214" s="56"/>
      <c r="CO214" s="56"/>
      <c r="CP214" s="56"/>
      <c r="CQ214" s="56"/>
      <c r="CR214" s="56"/>
      <c r="CS214" s="56"/>
      <c r="CT214" s="56"/>
      <c r="CU214" s="56"/>
      <c r="CV214" s="56"/>
      <c r="CW214" s="56"/>
      <c r="CX214" s="56"/>
      <c r="CY214" s="56"/>
      <c r="CZ214" s="56"/>
      <c r="DA214" s="56"/>
      <c r="DB214" s="56"/>
      <c r="DC214" s="56"/>
      <c r="DD214" s="56"/>
      <c r="DE214" s="56"/>
      <c r="DF214" s="56"/>
      <c r="DG214" s="56"/>
    </row>
    <row r="215" spans="1:111">
      <c r="AF215" s="16" t="s">
        <v>42</v>
      </c>
      <c r="AG215" s="16" t="s">
        <v>28</v>
      </c>
      <c r="AH215" s="12"/>
      <c r="AJ215" s="16" t="s">
        <v>20</v>
      </c>
      <c r="AK215" s="10" t="s">
        <v>33</v>
      </c>
      <c r="AL215" s="10" t="s">
        <v>34</v>
      </c>
      <c r="BJ215" s="56"/>
      <c r="BK215" s="56"/>
      <c r="BL215" s="56"/>
      <c r="BM215" s="56"/>
      <c r="BN215" s="56"/>
      <c r="BO215" s="56"/>
      <c r="BP215" s="56"/>
      <c r="BQ215" s="93"/>
      <c r="BR215" s="56"/>
      <c r="BS215" s="56"/>
      <c r="BT215" s="56"/>
      <c r="BU215" s="56"/>
      <c r="BV215" s="56"/>
      <c r="BW215" s="56"/>
      <c r="BX215" s="56"/>
      <c r="BY215" s="56"/>
      <c r="BZ215" s="56"/>
      <c r="CA215" s="56"/>
      <c r="CB215" s="56"/>
      <c r="CC215" s="56"/>
      <c r="CD215" s="56"/>
      <c r="CE215" s="56"/>
      <c r="CF215" s="56"/>
      <c r="CG215" s="56"/>
      <c r="CH215" s="56"/>
      <c r="CI215" s="56"/>
      <c r="CJ215" s="56"/>
      <c r="CK215" s="56"/>
      <c r="CL215" s="56"/>
      <c r="CM215" s="56"/>
      <c r="CN215" s="56"/>
      <c r="CO215" s="56"/>
      <c r="CP215" s="56"/>
      <c r="CQ215" s="56"/>
      <c r="CR215" s="56"/>
      <c r="CS215" s="56"/>
      <c r="CT215" s="56"/>
      <c r="CU215" s="56"/>
      <c r="CV215" s="56"/>
      <c r="CW215" s="56"/>
      <c r="CX215" s="56"/>
      <c r="CY215" s="56"/>
      <c r="CZ215" s="56"/>
      <c r="DA215" s="56"/>
      <c r="DB215" s="56"/>
      <c r="DC215" s="56"/>
      <c r="DD215" s="56"/>
      <c r="DE215" s="56"/>
      <c r="DF215" s="56"/>
      <c r="DG215" s="56"/>
    </row>
    <row r="216" spans="1:111">
      <c r="AF216" s="16" t="s">
        <v>31</v>
      </c>
      <c r="AG216" s="88" t="e">
        <f>K202/K204</f>
        <v>#REF!</v>
      </c>
      <c r="AH216" s="12"/>
      <c r="AJ216" s="16">
        <v>17</v>
      </c>
      <c r="AK216" s="35">
        <v>305.5</v>
      </c>
      <c r="AL216" s="35">
        <v>164.5</v>
      </c>
      <c r="BJ216" s="56"/>
      <c r="BK216" s="56"/>
      <c r="BL216" s="56"/>
      <c r="BM216" s="56"/>
      <c r="BN216" s="56"/>
      <c r="BO216" s="56"/>
      <c r="BP216" s="56"/>
      <c r="BQ216" s="93"/>
      <c r="BR216" s="56"/>
      <c r="BS216" s="56"/>
      <c r="BT216" s="56"/>
      <c r="BU216" s="56"/>
      <c r="BV216" s="56"/>
      <c r="BW216" s="56"/>
      <c r="BX216" s="56"/>
      <c r="BY216" s="56"/>
      <c r="BZ216" s="56"/>
      <c r="CA216" s="56"/>
      <c r="CB216" s="56"/>
      <c r="CC216" s="56"/>
      <c r="CD216" s="56"/>
      <c r="CE216" s="56"/>
      <c r="CF216" s="56"/>
      <c r="CG216" s="56"/>
      <c r="CH216" s="56"/>
      <c r="CI216" s="56"/>
      <c r="CJ216" s="56"/>
      <c r="CK216" s="56"/>
      <c r="CL216" s="56"/>
      <c r="CM216" s="56"/>
      <c r="CN216" s="56"/>
      <c r="CO216" s="56"/>
      <c r="CP216" s="56"/>
      <c r="CQ216" s="56"/>
      <c r="CR216" s="56"/>
      <c r="CS216" s="56"/>
      <c r="CT216" s="56"/>
      <c r="CU216" s="56"/>
      <c r="CV216" s="56"/>
      <c r="CW216" s="56"/>
      <c r="CX216" s="56"/>
      <c r="CY216" s="56"/>
      <c r="CZ216" s="56"/>
      <c r="DA216" s="56"/>
      <c r="DB216" s="56"/>
      <c r="DC216" s="56"/>
      <c r="DD216" s="56"/>
      <c r="DE216" s="56"/>
      <c r="DF216" s="56"/>
      <c r="DG216" s="56"/>
    </row>
    <row r="217" spans="1:111">
      <c r="AF217" s="16" t="s">
        <v>32</v>
      </c>
      <c r="AG217" s="88" t="e">
        <f>(I204*100+2.5*((AK216+AL216)-564)/94)/100</f>
        <v>#REF!</v>
      </c>
      <c r="AH217" s="12"/>
      <c r="BJ217" s="56"/>
      <c r="BK217" s="56"/>
      <c r="BL217" s="56"/>
      <c r="BM217" s="56"/>
      <c r="BN217" s="56"/>
      <c r="BO217" s="56"/>
      <c r="BP217" s="56"/>
      <c r="BQ217" s="93"/>
      <c r="BR217" s="56"/>
      <c r="BS217" s="56"/>
      <c r="BT217" s="56"/>
      <c r="BU217" s="56"/>
      <c r="BV217" s="56"/>
      <c r="BW217" s="56"/>
      <c r="BX217" s="56"/>
      <c r="BY217" s="56"/>
      <c r="BZ217" s="56"/>
      <c r="CA217" s="56"/>
      <c r="CB217" s="56"/>
      <c r="CC217" s="56"/>
      <c r="CD217" s="56"/>
      <c r="CE217" s="56"/>
      <c r="CF217" s="56"/>
      <c r="CG217" s="56"/>
      <c r="CH217" s="56"/>
      <c r="CI217" s="56"/>
      <c r="CJ217" s="56"/>
      <c r="CK217" s="56"/>
      <c r="CL217" s="56"/>
      <c r="CM217" s="56"/>
      <c r="CN217" s="56"/>
      <c r="CO217" s="56"/>
      <c r="CP217" s="56"/>
      <c r="CQ217" s="56"/>
      <c r="CR217" s="56"/>
      <c r="CS217" s="56"/>
      <c r="CT217" s="56"/>
      <c r="CU217" s="56"/>
      <c r="CV217" s="56"/>
      <c r="CW217" s="56"/>
      <c r="CX217" s="56"/>
      <c r="CY217" s="56"/>
      <c r="CZ217" s="56"/>
      <c r="DA217" s="56"/>
      <c r="DB217" s="56"/>
      <c r="DC217" s="56"/>
      <c r="DD217" s="56"/>
      <c r="DE217" s="56"/>
      <c r="DF217" s="56"/>
      <c r="DG217" s="56"/>
    </row>
    <row r="218" spans="1:111">
      <c r="BJ218" s="56"/>
      <c r="BK218" s="56"/>
      <c r="BL218" s="56"/>
      <c r="BM218" s="56"/>
      <c r="BN218" s="56"/>
      <c r="BO218" s="56"/>
      <c r="BP218" s="56"/>
      <c r="BQ218" s="93"/>
      <c r="BR218" s="56"/>
      <c r="BS218" s="56"/>
      <c r="BT218" s="56"/>
      <c r="BU218" s="56"/>
      <c r="BV218" s="56"/>
      <c r="BW218" s="56"/>
      <c r="BX218" s="56"/>
      <c r="BY218" s="56"/>
      <c r="BZ218" s="56"/>
      <c r="CA218" s="56"/>
      <c r="CB218" s="56"/>
      <c r="CC218" s="56"/>
      <c r="CD218" s="56"/>
      <c r="CE218" s="56"/>
      <c r="CF218" s="56"/>
      <c r="CG218" s="56"/>
      <c r="CH218" s="56"/>
      <c r="CI218" s="56"/>
      <c r="CJ218" s="56"/>
      <c r="CK218" s="56"/>
      <c r="CL218" s="56"/>
      <c r="CM218" s="56"/>
      <c r="CN218" s="56"/>
      <c r="CO218" s="56"/>
      <c r="CP218" s="56"/>
      <c r="CQ218" s="56"/>
      <c r="CR218" s="56"/>
      <c r="CS218" s="56"/>
      <c r="CT218" s="56"/>
      <c r="CU218" s="56"/>
      <c r="CV218" s="56"/>
      <c r="CW218" s="56"/>
      <c r="CX218" s="56"/>
      <c r="CY218" s="56"/>
      <c r="CZ218" s="56"/>
      <c r="DA218" s="56"/>
      <c r="DB218" s="56"/>
      <c r="DC218" s="56"/>
      <c r="DD218" s="56"/>
      <c r="DE218" s="56"/>
      <c r="DF218" s="56"/>
      <c r="DG218" s="56"/>
    </row>
    <row r="219" spans="1:111" ht="21">
      <c r="BJ219" s="56"/>
      <c r="BK219" s="56"/>
      <c r="BL219" s="56"/>
      <c r="BM219" s="56"/>
      <c r="BN219" s="56"/>
      <c r="BO219" s="56"/>
      <c r="BP219" s="56"/>
      <c r="BQ219" s="93"/>
      <c r="BR219" s="56"/>
      <c r="BS219" s="56"/>
      <c r="BT219" s="56"/>
      <c r="BU219" s="56"/>
      <c r="BV219" s="56"/>
      <c r="BW219" s="56"/>
      <c r="BX219" s="56"/>
      <c r="BY219" s="56"/>
      <c r="BZ219" s="56"/>
      <c r="CA219" s="56"/>
      <c r="CB219" s="56"/>
      <c r="CC219" s="56"/>
      <c r="CD219" s="56"/>
      <c r="CE219" s="56"/>
      <c r="CF219" s="56"/>
      <c r="CG219" s="56"/>
      <c r="CH219" s="56"/>
      <c r="CI219" s="56"/>
      <c r="CJ219" s="56"/>
      <c r="CK219" s="56"/>
      <c r="CL219" s="56"/>
      <c r="CM219" s="56"/>
      <c r="CN219" s="56"/>
      <c r="CO219" s="56"/>
      <c r="CP219" s="370"/>
      <c r="CQ219" s="370"/>
      <c r="CR219" s="56"/>
      <c r="CS219" s="56"/>
      <c r="CT219" s="56"/>
      <c r="CU219" s="56"/>
      <c r="CV219" s="56"/>
      <c r="CW219" s="56"/>
      <c r="CX219" s="56"/>
      <c r="CY219" s="56"/>
      <c r="CZ219" s="56"/>
      <c r="DA219" s="56"/>
      <c r="DB219" s="56"/>
      <c r="DC219" s="56"/>
      <c r="DD219" s="56"/>
      <c r="DE219" s="56"/>
      <c r="DF219" s="56"/>
      <c r="DG219" s="56"/>
    </row>
    <row r="220" spans="1:111" ht="31.5" customHeight="1">
      <c r="BJ220" s="56"/>
      <c r="BK220" s="56"/>
      <c r="BL220" s="56"/>
      <c r="BM220" s="371"/>
      <c r="BN220" s="371"/>
      <c r="BO220" s="56"/>
      <c r="BP220" s="56"/>
      <c r="BQ220" s="56"/>
      <c r="BR220" s="56"/>
      <c r="BS220" s="56"/>
      <c r="BT220" s="56"/>
      <c r="BU220" s="56"/>
      <c r="BV220" s="56"/>
      <c r="BW220" s="56"/>
      <c r="BX220" s="56"/>
      <c r="BY220" s="56"/>
      <c r="BZ220" s="56"/>
      <c r="CA220" s="56"/>
      <c r="CB220" s="56"/>
      <c r="CC220" s="56"/>
      <c r="CD220" s="56"/>
      <c r="CE220" s="56"/>
      <c r="CF220" s="56"/>
      <c r="CG220" s="56"/>
      <c r="CH220" s="56"/>
      <c r="CI220" s="56"/>
      <c r="CJ220" s="56"/>
      <c r="CK220" s="56"/>
      <c r="CL220" s="56"/>
      <c r="CM220" s="56"/>
      <c r="CN220" s="56"/>
      <c r="CO220" s="56"/>
      <c r="CP220" s="56"/>
      <c r="CQ220" s="56"/>
      <c r="CR220" s="56"/>
      <c r="CS220" s="56"/>
      <c r="CT220" s="372"/>
      <c r="CU220" s="56"/>
      <c r="CV220" s="56"/>
      <c r="CW220" s="56"/>
      <c r="CX220" s="56"/>
      <c r="CY220" s="56"/>
      <c r="CZ220" s="56"/>
      <c r="DA220" s="56"/>
      <c r="DB220" s="56"/>
      <c r="DC220" s="56"/>
      <c r="DD220" s="56"/>
      <c r="DE220" s="56"/>
      <c r="DF220" s="56"/>
      <c r="DG220" s="56"/>
    </row>
    <row r="221" spans="1:111">
      <c r="BJ221" s="56"/>
      <c r="BK221" s="56"/>
      <c r="BL221" s="56"/>
      <c r="BM221" s="56"/>
      <c r="BN221" s="56"/>
      <c r="BO221" s="56"/>
      <c r="BP221" s="56"/>
      <c r="BQ221" s="56"/>
      <c r="BR221" s="56"/>
      <c r="BS221" s="56"/>
      <c r="BT221" s="56"/>
      <c r="BU221" s="56"/>
      <c r="BV221" s="56"/>
      <c r="BW221" s="56"/>
      <c r="BX221" s="56"/>
      <c r="BY221" s="56"/>
      <c r="BZ221" s="56"/>
      <c r="CA221" s="56"/>
      <c r="CB221" s="56"/>
      <c r="CC221" s="56"/>
      <c r="CD221" s="56"/>
      <c r="CE221" s="56"/>
      <c r="CF221" s="56"/>
      <c r="CG221" s="56"/>
      <c r="CH221" s="56"/>
      <c r="CI221" s="56"/>
      <c r="CJ221" s="56"/>
      <c r="CK221" s="56"/>
      <c r="CL221" s="56"/>
      <c r="CM221" s="56"/>
      <c r="CN221" s="56"/>
      <c r="CO221" s="56"/>
      <c r="CP221" s="56"/>
      <c r="CQ221" s="373"/>
      <c r="CR221" s="56"/>
      <c r="CS221" s="56"/>
      <c r="CT221" s="56"/>
      <c r="CU221" s="56"/>
      <c r="CV221" s="56"/>
      <c r="CW221" s="56"/>
      <c r="CX221" s="56"/>
      <c r="CY221" s="56"/>
      <c r="CZ221" s="56"/>
      <c r="DA221" s="56"/>
      <c r="DB221" s="56"/>
      <c r="DC221" s="56"/>
      <c r="DD221" s="56"/>
      <c r="DE221" s="56"/>
      <c r="DF221" s="56"/>
      <c r="DG221" s="56"/>
    </row>
    <row r="222" spans="1:111">
      <c r="BJ222" s="56"/>
      <c r="BK222" s="56"/>
      <c r="BL222" s="56"/>
      <c r="BM222" s="56"/>
      <c r="BN222" s="56"/>
      <c r="BO222" s="56"/>
      <c r="BP222" s="56"/>
      <c r="BQ222" s="56"/>
      <c r="BR222" s="56"/>
      <c r="BS222" s="56"/>
      <c r="BT222" s="56"/>
      <c r="BU222" s="56"/>
      <c r="BV222" s="56"/>
      <c r="BW222" s="56"/>
      <c r="BX222" s="56"/>
      <c r="BY222" s="56"/>
      <c r="BZ222" s="56"/>
      <c r="CA222" s="56"/>
      <c r="CB222" s="56"/>
      <c r="CC222" s="56"/>
      <c r="CD222" s="56"/>
      <c r="CE222" s="56"/>
      <c r="CF222" s="56"/>
      <c r="CG222" s="56"/>
      <c r="CH222" s="56"/>
      <c r="CI222" s="56"/>
      <c r="CJ222" s="56"/>
      <c r="CK222" s="56"/>
      <c r="CL222" s="56"/>
      <c r="CM222" s="56"/>
      <c r="CN222" s="56"/>
      <c r="CO222" s="56"/>
      <c r="CP222" s="56"/>
      <c r="CQ222" s="56"/>
      <c r="CR222" s="56"/>
      <c r="CS222" s="56"/>
      <c r="CT222" s="56"/>
      <c r="CU222" s="56"/>
      <c r="CV222" s="56"/>
      <c r="CW222" s="56"/>
      <c r="CX222" s="56"/>
      <c r="CY222" s="56"/>
      <c r="CZ222" s="56"/>
      <c r="DA222" s="56"/>
      <c r="DB222" s="56"/>
      <c r="DC222" s="56"/>
      <c r="DD222" s="56"/>
      <c r="DE222" s="56"/>
      <c r="DF222" s="56"/>
      <c r="DG222" s="56"/>
    </row>
    <row r="223" spans="1:111">
      <c r="H223" s="33" t="s">
        <v>30</v>
      </c>
      <c r="I223" s="48"/>
      <c r="J223" s="48"/>
      <c r="K223" s="49"/>
      <c r="BJ223" s="56"/>
      <c r="BK223" s="56"/>
      <c r="BL223" s="56"/>
      <c r="BM223" s="56"/>
      <c r="BN223" s="56"/>
      <c r="BO223" s="56"/>
      <c r="BP223" s="56"/>
      <c r="BQ223" s="56"/>
      <c r="BR223" s="374"/>
      <c r="BS223" s="181"/>
      <c r="BT223" s="56"/>
      <c r="BU223" s="56"/>
      <c r="BV223" s="56"/>
      <c r="BW223" s="298"/>
      <c r="BX223" s="298"/>
      <c r="BY223" s="56"/>
      <c r="BZ223" s="56"/>
      <c r="CA223" s="56"/>
      <c r="CB223" s="56"/>
      <c r="CC223" s="56"/>
      <c r="CD223" s="56"/>
      <c r="CE223" s="56"/>
      <c r="CF223" s="56"/>
      <c r="CG223" s="56"/>
      <c r="CH223" s="56"/>
      <c r="CI223" s="56"/>
      <c r="CJ223" s="56"/>
      <c r="CK223" s="56"/>
      <c r="CL223" s="56"/>
      <c r="CM223" s="56"/>
      <c r="CN223" s="56"/>
      <c r="CO223" s="56"/>
      <c r="CP223" s="56"/>
      <c r="CQ223" s="373"/>
      <c r="CR223" s="56"/>
      <c r="CS223" s="56"/>
      <c r="CT223" s="56"/>
      <c r="CU223" s="56"/>
      <c r="CV223" s="56"/>
      <c r="CW223" s="56"/>
      <c r="CX223" s="56"/>
      <c r="CY223" s="56"/>
      <c r="CZ223" s="56"/>
      <c r="DA223" s="56"/>
      <c r="DB223" s="56"/>
      <c r="DC223" s="56"/>
      <c r="DD223" s="56"/>
      <c r="DE223" s="56"/>
      <c r="DF223" s="56"/>
      <c r="DG223" s="56"/>
    </row>
    <row r="224" spans="1:111">
      <c r="A224" s="10" t="s">
        <v>20</v>
      </c>
      <c r="B224" s="5" t="s">
        <v>17</v>
      </c>
      <c r="C224" s="5" t="s">
        <v>4</v>
      </c>
      <c r="D224" s="5" t="s">
        <v>18</v>
      </c>
      <c r="E224" s="8" t="s">
        <v>19</v>
      </c>
      <c r="H224" s="28"/>
      <c r="I224" s="43"/>
      <c r="J224" s="43" t="s">
        <v>47</v>
      </c>
      <c r="K224" s="21"/>
      <c r="BJ224" s="56"/>
      <c r="BK224" s="93"/>
      <c r="BL224" s="93"/>
      <c r="BM224" s="375"/>
      <c r="BN224" s="127"/>
      <c r="BO224" s="56"/>
      <c r="BP224" s="93"/>
      <c r="BQ224" s="93"/>
      <c r="BR224" s="375"/>
      <c r="BS224" s="127"/>
      <c r="BT224" s="56"/>
      <c r="BU224" s="93"/>
      <c r="BV224" s="93"/>
      <c r="BW224" s="375"/>
      <c r="BX224" s="127"/>
      <c r="BY224" s="56"/>
      <c r="BZ224" s="56"/>
      <c r="CA224" s="93"/>
      <c r="CB224" s="93"/>
      <c r="CC224" s="56"/>
      <c r="CD224" s="56"/>
      <c r="CE224" s="56"/>
      <c r="CF224" s="56"/>
      <c r="CG224" s="56"/>
      <c r="CH224" s="56"/>
      <c r="CI224" s="56"/>
      <c r="CJ224" s="56"/>
      <c r="CK224" s="56"/>
      <c r="CL224" s="56"/>
      <c r="CM224" s="56"/>
      <c r="CN224" s="56"/>
      <c r="CO224" s="56"/>
      <c r="CP224" s="56"/>
      <c r="CQ224" s="56"/>
      <c r="CR224" s="56"/>
      <c r="CS224" s="56"/>
      <c r="CT224" s="56"/>
      <c r="CU224" s="56"/>
      <c r="CV224" s="56"/>
      <c r="CW224" s="56"/>
      <c r="CX224" s="56"/>
      <c r="CY224" s="56"/>
      <c r="CZ224" s="56"/>
      <c r="DA224" s="56"/>
      <c r="DB224" s="56"/>
      <c r="DC224" s="56"/>
      <c r="DD224" s="56"/>
      <c r="DE224" s="56"/>
      <c r="DF224" s="56"/>
      <c r="DG224" s="56"/>
    </row>
    <row r="225" spans="1:111" ht="26.25">
      <c r="A225" s="10">
        <v>18</v>
      </c>
      <c r="B225" s="10">
        <v>1941</v>
      </c>
      <c r="C225" s="10">
        <v>0</v>
      </c>
      <c r="D225" s="10">
        <v>1395</v>
      </c>
      <c r="E225" s="10">
        <f>SUM(B225:D225)</f>
        <v>3336</v>
      </c>
      <c r="H225" s="124" t="s">
        <v>16</v>
      </c>
      <c r="I225" s="10" t="s">
        <v>26</v>
      </c>
      <c r="J225" s="9" t="s">
        <v>27</v>
      </c>
      <c r="K225" s="20" t="s">
        <v>29</v>
      </c>
      <c r="BJ225" s="56"/>
      <c r="BK225" s="175"/>
      <c r="BL225" s="93"/>
      <c r="BM225" s="375"/>
      <c r="BN225" s="299"/>
      <c r="BO225" s="56"/>
      <c r="BP225" s="175"/>
      <c r="BQ225" s="93"/>
      <c r="BR225" s="375"/>
      <c r="BS225" s="150"/>
      <c r="BT225" s="56"/>
      <c r="BU225" s="175"/>
      <c r="BV225" s="93"/>
      <c r="BW225" s="375"/>
      <c r="BX225" s="150"/>
      <c r="BY225" s="56"/>
      <c r="BZ225" s="56"/>
      <c r="CA225" s="136"/>
      <c r="CB225" s="136"/>
      <c r="CC225" s="56"/>
      <c r="CD225" s="56"/>
      <c r="CE225" s="56"/>
      <c r="CF225" s="56"/>
      <c r="CG225" s="56"/>
      <c r="CH225" s="56"/>
      <c r="CI225" s="56"/>
      <c r="CJ225" s="56"/>
      <c r="CK225" s="56"/>
      <c r="CL225" s="56"/>
      <c r="CM225" s="56"/>
      <c r="CN225" s="56"/>
      <c r="CO225" s="56"/>
      <c r="CP225" s="56"/>
      <c r="CQ225" s="56"/>
      <c r="CR225" s="56"/>
      <c r="CS225" s="56"/>
      <c r="CT225" s="56"/>
      <c r="CU225" s="56"/>
      <c r="CV225" s="56"/>
      <c r="CW225" s="56"/>
      <c r="CX225" s="56"/>
      <c r="CY225" s="56"/>
      <c r="CZ225" s="56"/>
      <c r="DA225" s="56"/>
      <c r="DB225" s="56"/>
      <c r="DC225" s="56"/>
      <c r="DD225" s="56"/>
      <c r="DE225" s="56"/>
      <c r="DF225" s="56"/>
      <c r="DG225" s="56"/>
    </row>
    <row r="226" spans="1:111">
      <c r="H226" s="39">
        <v>1.5</v>
      </c>
      <c r="I226" s="69" t="e">
        <f>B$228*'Mix Design'!#REF!+'Mix Design'!#REF!*C$228+D$228*'Mix Design'!#REF!</f>
        <v>#REF!</v>
      </c>
      <c r="J226" s="102" t="e">
        <f>1-I226</f>
        <v>#REF!</v>
      </c>
      <c r="K226" s="68" t="e">
        <f>J226</f>
        <v>#REF!</v>
      </c>
      <c r="BJ226" s="56"/>
      <c r="BK226" s="175"/>
      <c r="BL226" s="93"/>
      <c r="BM226" s="376"/>
      <c r="BN226" s="299"/>
      <c r="BO226" s="56"/>
      <c r="BP226" s="175"/>
      <c r="BQ226" s="93"/>
      <c r="BR226" s="376"/>
      <c r="BS226" s="150"/>
      <c r="BT226" s="56"/>
      <c r="BU226" s="175"/>
      <c r="BV226" s="93"/>
      <c r="BW226" s="376"/>
      <c r="BX226" s="150"/>
      <c r="BY226" s="56"/>
      <c r="BZ226" s="56"/>
      <c r="CA226" s="136"/>
      <c r="CB226" s="136"/>
      <c r="CC226" s="56"/>
      <c r="CD226" s="56"/>
      <c r="CE226" s="56"/>
      <c r="CF226" s="56"/>
      <c r="CG226" s="56"/>
      <c r="CH226" s="56"/>
      <c r="CI226" s="56"/>
      <c r="CJ226" s="56"/>
      <c r="CK226" s="56"/>
      <c r="CL226" s="56"/>
      <c r="CM226" s="56"/>
      <c r="CN226" s="56"/>
      <c r="CO226" s="93"/>
      <c r="CP226" s="93"/>
      <c r="CQ226" s="93"/>
      <c r="CR226" s="93"/>
      <c r="CS226" s="93"/>
      <c r="CT226" s="93"/>
      <c r="CU226" s="93"/>
      <c r="CV226" s="377"/>
      <c r="CW226" s="93"/>
      <c r="CX226" s="93"/>
      <c r="CY226" s="93"/>
      <c r="CZ226" s="93"/>
      <c r="DA226" s="377"/>
      <c r="DB226" s="93"/>
      <c r="DC226" s="56"/>
      <c r="DD226" s="56"/>
      <c r="DE226" s="56"/>
      <c r="DF226" s="56"/>
      <c r="DG226" s="56"/>
    </row>
    <row r="227" spans="1:111">
      <c r="B227" s="45" t="s">
        <v>146</v>
      </c>
      <c r="C227" s="46"/>
      <c r="D227" s="47"/>
      <c r="H227" s="39">
        <v>1</v>
      </c>
      <c r="I227" s="69" t="e">
        <f>B$228*'Mix Design'!#REF!+'Mix Design'!#REF!*C$228+D$228*'Mix Design'!#REF!</f>
        <v>#REF!</v>
      </c>
      <c r="J227" s="74" t="e">
        <f>I226-I227</f>
        <v>#REF!</v>
      </c>
      <c r="K227" s="69" t="e">
        <f>K226+J227</f>
        <v>#REF!</v>
      </c>
      <c r="BJ227" s="56"/>
      <c r="BK227" s="175"/>
      <c r="BL227" s="93"/>
      <c r="BM227" s="376"/>
      <c r="BN227" s="299"/>
      <c r="BO227" s="56"/>
      <c r="BP227" s="175"/>
      <c r="BQ227" s="93"/>
      <c r="BR227" s="376"/>
      <c r="BS227" s="150"/>
      <c r="BT227" s="56"/>
      <c r="BU227" s="175"/>
      <c r="BV227" s="93"/>
      <c r="BW227" s="376"/>
      <c r="BX227" s="150"/>
      <c r="BY227" s="56"/>
      <c r="BZ227" s="56"/>
      <c r="CA227" s="136"/>
      <c r="CB227" s="136"/>
      <c r="CC227" s="56"/>
      <c r="CD227" s="56"/>
      <c r="CE227" s="56"/>
      <c r="CF227" s="56"/>
      <c r="CG227" s="56"/>
      <c r="CH227" s="56"/>
      <c r="CI227" s="56"/>
      <c r="CJ227" s="56"/>
      <c r="CK227" s="56"/>
      <c r="CL227" s="56"/>
      <c r="CM227" s="56"/>
      <c r="CN227" s="56"/>
      <c r="CO227" s="56"/>
      <c r="CP227" s="56"/>
      <c r="CQ227" s="93"/>
      <c r="CR227" s="93"/>
      <c r="CS227" s="93"/>
      <c r="CT227" s="93"/>
      <c r="CU227" s="93"/>
      <c r="CV227" s="150"/>
      <c r="CW227" s="93"/>
      <c r="CX227" s="93"/>
      <c r="CY227" s="93"/>
      <c r="CZ227" s="93"/>
      <c r="DA227" s="150"/>
      <c r="DB227" s="93"/>
      <c r="DC227" s="56"/>
      <c r="DD227" s="56"/>
      <c r="DE227" s="56"/>
      <c r="DF227" s="56"/>
      <c r="DG227" s="56"/>
    </row>
    <row r="228" spans="1:111">
      <c r="B228" s="164">
        <f>B225/E225</f>
        <v>0.58183453237410077</v>
      </c>
      <c r="C228" s="164">
        <f>C225/E225</f>
        <v>0</v>
      </c>
      <c r="D228" s="164">
        <f>D225/E225</f>
        <v>0.41816546762589929</v>
      </c>
      <c r="H228" s="39">
        <v>0.75</v>
      </c>
      <c r="I228" s="69" t="e">
        <f>B$228*'Mix Design'!#REF!+'Mix Design'!#REF!*C$228+D$228*'Mix Design'!#REF!</f>
        <v>#REF!</v>
      </c>
      <c r="J228" s="74" t="e">
        <f t="shared" ref="J228:J237" si="14">I227-I228</f>
        <v>#REF!</v>
      </c>
      <c r="K228" s="69" t="e">
        <f t="shared" ref="K228:K237" si="15">K227+J228</f>
        <v>#REF!</v>
      </c>
      <c r="BJ228" s="56"/>
      <c r="BK228" s="175"/>
      <c r="BL228" s="93"/>
      <c r="BM228" s="376"/>
      <c r="BN228" s="299"/>
      <c r="BO228" s="56"/>
      <c r="BP228" s="175"/>
      <c r="BQ228" s="93"/>
      <c r="BR228" s="376"/>
      <c r="BS228" s="299"/>
      <c r="BT228" s="56"/>
      <c r="BU228" s="175"/>
      <c r="BV228" s="93"/>
      <c r="BW228" s="376"/>
      <c r="BX228" s="150"/>
      <c r="BY228" s="56"/>
      <c r="BZ228" s="56"/>
      <c r="CA228" s="136"/>
      <c r="CB228" s="136"/>
      <c r="CC228" s="56"/>
      <c r="CD228" s="56"/>
      <c r="CE228" s="56"/>
      <c r="CF228" s="56"/>
      <c r="CG228" s="56"/>
      <c r="CH228" s="56"/>
      <c r="CI228" s="56"/>
      <c r="CJ228" s="56"/>
      <c r="CK228" s="56"/>
      <c r="CL228" s="56"/>
      <c r="CM228" s="56"/>
      <c r="CN228" s="56"/>
      <c r="CO228" s="56"/>
      <c r="CP228" s="56"/>
      <c r="CQ228" s="93"/>
      <c r="CR228" s="93"/>
      <c r="CS228" s="93"/>
      <c r="CT228" s="93"/>
      <c r="CU228" s="93"/>
      <c r="CV228" s="150"/>
      <c r="CW228" s="93"/>
      <c r="CX228" s="93"/>
      <c r="CY228" s="93"/>
      <c r="CZ228" s="93"/>
      <c r="DA228" s="150"/>
      <c r="DB228" s="93"/>
      <c r="DC228" s="56"/>
      <c r="DD228" s="56"/>
      <c r="DE228" s="56"/>
      <c r="DF228" s="56"/>
      <c r="DG228" s="56"/>
    </row>
    <row r="229" spans="1:111">
      <c r="H229" s="39">
        <v>0.5</v>
      </c>
      <c r="I229" s="69" t="e">
        <f>B$228*'Mix Design'!#REF!+'Mix Design'!#REF!*C$228+D$228*'Mix Design'!#REF!</f>
        <v>#REF!</v>
      </c>
      <c r="J229" s="74" t="e">
        <f t="shared" si="14"/>
        <v>#REF!</v>
      </c>
      <c r="K229" s="69" t="e">
        <f t="shared" si="15"/>
        <v>#REF!</v>
      </c>
      <c r="BJ229" s="56"/>
      <c r="BK229" s="93"/>
      <c r="BL229" s="93"/>
      <c r="BM229" s="376"/>
      <c r="BN229" s="299"/>
      <c r="BO229" s="56"/>
      <c r="BP229" s="93"/>
      <c r="BQ229" s="93"/>
      <c r="BR229" s="376"/>
      <c r="BS229" s="299"/>
      <c r="BT229" s="56"/>
      <c r="BU229" s="93"/>
      <c r="BV229" s="93"/>
      <c r="BW229" s="376"/>
      <c r="BX229" s="150"/>
      <c r="BY229" s="56"/>
      <c r="BZ229" s="56"/>
      <c r="CA229" s="136"/>
      <c r="CB229" s="136"/>
      <c r="CC229" s="56"/>
      <c r="CD229" s="56"/>
      <c r="CE229" s="56"/>
      <c r="CF229" s="56"/>
      <c r="CG229" s="56"/>
      <c r="CH229" s="56"/>
      <c r="CI229" s="56"/>
      <c r="CJ229" s="56"/>
      <c r="CK229" s="56"/>
      <c r="CL229" s="56"/>
      <c r="CM229" s="56"/>
      <c r="CN229" s="56"/>
      <c r="CO229" s="56"/>
      <c r="CP229" s="56"/>
      <c r="CQ229" s="93"/>
      <c r="CR229" s="93"/>
      <c r="CS229" s="93"/>
      <c r="CT229" s="93"/>
      <c r="CU229" s="93"/>
      <c r="CV229" s="150"/>
      <c r="CW229" s="93"/>
      <c r="CX229" s="93"/>
      <c r="CY229" s="93"/>
      <c r="CZ229" s="93"/>
      <c r="DA229" s="150"/>
      <c r="DB229" s="93"/>
      <c r="DC229" s="56"/>
      <c r="DD229" s="56"/>
      <c r="DE229" s="56"/>
      <c r="DF229" s="56"/>
      <c r="DG229" s="56"/>
    </row>
    <row r="230" spans="1:111">
      <c r="H230" s="39">
        <v>0.375</v>
      </c>
      <c r="I230" s="69" t="e">
        <f>B$228*'Mix Design'!#REF!+'Mix Design'!#REF!*C$228+D$228*'Mix Design'!#REF!</f>
        <v>#REF!</v>
      </c>
      <c r="J230" s="74" t="e">
        <f t="shared" si="14"/>
        <v>#REF!</v>
      </c>
      <c r="K230" s="100" t="e">
        <f>K229+J230</f>
        <v>#REF!</v>
      </c>
      <c r="BJ230" s="56"/>
      <c r="BK230" s="93"/>
      <c r="BL230" s="93"/>
      <c r="BM230" s="376"/>
      <c r="BN230" s="299"/>
      <c r="BO230" s="56"/>
      <c r="BP230" s="93"/>
      <c r="BQ230" s="93"/>
      <c r="BR230" s="376"/>
      <c r="BS230" s="299"/>
      <c r="BT230" s="56"/>
      <c r="BU230" s="93"/>
      <c r="BV230" s="93"/>
      <c r="BW230" s="376"/>
      <c r="BX230" s="299"/>
      <c r="BY230" s="56"/>
      <c r="BZ230" s="56"/>
      <c r="CA230" s="136"/>
      <c r="CB230" s="136"/>
      <c r="CC230" s="56"/>
      <c r="CD230" s="56"/>
      <c r="CE230" s="56"/>
      <c r="CF230" s="56"/>
      <c r="CG230" s="56"/>
      <c r="CH230" s="56"/>
      <c r="CI230" s="56"/>
      <c r="CJ230" s="56"/>
      <c r="CK230" s="56"/>
      <c r="CL230" s="56"/>
      <c r="CM230" s="56"/>
      <c r="CN230" s="56"/>
      <c r="CO230" s="56"/>
      <c r="CP230" s="56"/>
      <c r="CQ230" s="93"/>
      <c r="CR230" s="93"/>
      <c r="CS230" s="93"/>
      <c r="CT230" s="93"/>
      <c r="CU230" s="93"/>
      <c r="CV230" s="93"/>
      <c r="CW230" s="93"/>
      <c r="CX230" s="93"/>
      <c r="CY230" s="93"/>
      <c r="CZ230" s="93"/>
      <c r="DA230" s="93"/>
      <c r="DB230" s="93"/>
      <c r="DC230" s="56"/>
      <c r="DD230" s="56"/>
      <c r="DE230" s="56"/>
      <c r="DF230" s="56"/>
      <c r="DG230" s="56"/>
    </row>
    <row r="231" spans="1:111">
      <c r="H231" s="39" t="s">
        <v>2</v>
      </c>
      <c r="I231" s="69" t="e">
        <f>B$228*'Mix Design'!#REF!+'Mix Design'!#REF!*C$228+D$228*'Mix Design'!#REF!</f>
        <v>#REF!</v>
      </c>
      <c r="J231" s="74" t="e">
        <f t="shared" si="14"/>
        <v>#REF!</v>
      </c>
      <c r="K231" s="69" t="e">
        <f t="shared" si="15"/>
        <v>#REF!</v>
      </c>
      <c r="BJ231" s="56"/>
      <c r="BK231" s="93"/>
      <c r="BL231" s="93"/>
      <c r="BM231" s="376"/>
      <c r="BN231" s="299"/>
      <c r="BO231" s="56"/>
      <c r="BP231" s="93"/>
      <c r="BQ231" s="93"/>
      <c r="BR231" s="376"/>
      <c r="BS231" s="299"/>
      <c r="BT231" s="56"/>
      <c r="BU231" s="93"/>
      <c r="BV231" s="93"/>
      <c r="BW231" s="376"/>
      <c r="BX231" s="299"/>
      <c r="BY231" s="56"/>
      <c r="BZ231" s="56"/>
      <c r="CA231" s="136"/>
      <c r="CB231" s="136"/>
      <c r="CC231" s="56"/>
      <c r="CD231" s="56"/>
      <c r="CE231" s="56"/>
      <c r="CF231" s="56"/>
      <c r="CG231" s="56"/>
      <c r="CH231" s="56"/>
      <c r="CI231" s="56"/>
      <c r="CJ231" s="56"/>
      <c r="CK231" s="56"/>
      <c r="CL231" s="56"/>
      <c r="CM231" s="56"/>
      <c r="CN231" s="56"/>
      <c r="CO231" s="56"/>
      <c r="CP231" s="56"/>
      <c r="CQ231" s="93"/>
      <c r="CR231" s="93"/>
      <c r="CS231" s="93"/>
      <c r="CT231" s="93"/>
      <c r="CU231" s="93"/>
      <c r="CV231" s="93"/>
      <c r="CW231" s="93"/>
      <c r="CX231" s="93"/>
      <c r="CY231" s="56"/>
      <c r="CZ231" s="56"/>
      <c r="DA231" s="56"/>
      <c r="DB231" s="93"/>
      <c r="DC231" s="93"/>
      <c r="DD231" s="93"/>
      <c r="DE231" s="93"/>
      <c r="DF231" s="93"/>
      <c r="DG231" s="56"/>
    </row>
    <row r="232" spans="1:111">
      <c r="H232" s="39" t="s">
        <v>5</v>
      </c>
      <c r="I232" s="103" t="e">
        <f>B$228*'Mix Design'!#REF!+'Mix Design'!#REF!*C$228+D$228*'Mix Design'!#REF!</f>
        <v>#REF!</v>
      </c>
      <c r="J232" s="74" t="e">
        <f t="shared" si="14"/>
        <v>#REF!</v>
      </c>
      <c r="K232" s="100" t="e">
        <f t="shared" si="15"/>
        <v>#REF!</v>
      </c>
      <c r="BJ232" s="56"/>
      <c r="BK232" s="56"/>
      <c r="BL232" s="56"/>
      <c r="BM232" s="56"/>
      <c r="BN232" s="56"/>
      <c r="BO232" s="56"/>
      <c r="BP232" s="93"/>
      <c r="BQ232" s="93"/>
      <c r="BR232" s="376"/>
      <c r="BS232" s="299"/>
      <c r="BT232" s="56"/>
      <c r="BU232" s="93"/>
      <c r="BV232" s="93"/>
      <c r="BW232" s="376"/>
      <c r="BX232" s="299"/>
      <c r="BY232" s="56"/>
      <c r="BZ232" s="56"/>
      <c r="CA232" s="136"/>
      <c r="CB232" s="136"/>
      <c r="CC232" s="56"/>
      <c r="CD232" s="56"/>
      <c r="CE232" s="56"/>
      <c r="CF232" s="56"/>
      <c r="CG232" s="56"/>
      <c r="CH232" s="56"/>
      <c r="CI232" s="56"/>
      <c r="CJ232" s="56"/>
      <c r="CK232" s="56"/>
      <c r="CL232" s="56"/>
      <c r="CM232" s="56"/>
      <c r="CN232" s="56"/>
      <c r="CO232" s="56"/>
      <c r="CP232" s="56"/>
      <c r="CQ232" s="56"/>
      <c r="CR232" s="56"/>
      <c r="CS232" s="56"/>
      <c r="CT232" s="56"/>
      <c r="CU232" s="56"/>
      <c r="CV232" s="56"/>
      <c r="CW232" s="56"/>
      <c r="CX232" s="56"/>
      <c r="CY232" s="56"/>
      <c r="CZ232" s="56"/>
      <c r="DA232" s="56"/>
      <c r="DB232" s="56"/>
      <c r="DC232" s="56"/>
      <c r="DD232" s="56"/>
      <c r="DE232" s="56"/>
      <c r="DF232" s="56"/>
      <c r="DG232" s="56"/>
    </row>
    <row r="233" spans="1:111">
      <c r="H233" s="39" t="s">
        <v>7</v>
      </c>
      <c r="I233" s="69" t="e">
        <f>B$228*'Mix Design'!C44+'Mix Design'!#REF!*C$228+D$228*'Mix Design'!#REF!</f>
        <v>#REF!</v>
      </c>
      <c r="J233" s="74" t="e">
        <f t="shared" si="14"/>
        <v>#REF!</v>
      </c>
      <c r="K233" s="69" t="e">
        <f t="shared" si="15"/>
        <v>#REF!</v>
      </c>
      <c r="BJ233" s="56"/>
      <c r="BK233" s="56"/>
      <c r="BL233" s="56"/>
      <c r="BM233" s="376"/>
      <c r="BN233" s="56"/>
      <c r="BO233" s="56"/>
      <c r="BP233" s="93"/>
      <c r="BQ233" s="93"/>
      <c r="BR233" s="376"/>
      <c r="BS233" s="299"/>
      <c r="BT233" s="56"/>
      <c r="BU233" s="93"/>
      <c r="BV233" s="93"/>
      <c r="BW233" s="376"/>
      <c r="BX233" s="299"/>
      <c r="BY233" s="56"/>
      <c r="BZ233" s="56"/>
      <c r="CA233" s="136"/>
      <c r="CB233" s="136"/>
      <c r="CC233" s="56"/>
      <c r="CD233" s="56"/>
      <c r="CE233" s="56"/>
      <c r="CF233" s="56"/>
      <c r="CG233" s="56"/>
      <c r="CH233" s="56"/>
      <c r="CI233" s="56"/>
      <c r="CJ233" s="56"/>
      <c r="CK233" s="56"/>
      <c r="CL233" s="56"/>
      <c r="CM233" s="56"/>
      <c r="CN233" s="56"/>
      <c r="CO233" s="56"/>
      <c r="CP233" s="56"/>
      <c r="CQ233" s="56"/>
      <c r="CR233" s="56"/>
      <c r="CS233" s="56"/>
      <c r="CT233" s="56"/>
      <c r="CU233" s="56"/>
      <c r="CV233" s="56"/>
      <c r="CW233" s="56"/>
      <c r="CX233" s="56"/>
      <c r="CY233" s="56"/>
      <c r="CZ233" s="56"/>
      <c r="DA233" s="56"/>
      <c r="DB233" s="56"/>
      <c r="DC233" s="56"/>
      <c r="DD233" s="56"/>
      <c r="DE233" s="56"/>
      <c r="DF233" s="56"/>
      <c r="DG233" s="56"/>
    </row>
    <row r="234" spans="1:111">
      <c r="H234" s="39" t="s">
        <v>8</v>
      </c>
      <c r="I234" s="69" t="e">
        <f>B$228*'Mix Design'!C45+'Mix Design'!#REF!*C$228+D$228*'Mix Design'!#REF!</f>
        <v>#REF!</v>
      </c>
      <c r="J234" s="74" t="e">
        <f t="shared" si="14"/>
        <v>#REF!</v>
      </c>
      <c r="K234" s="69" t="e">
        <f t="shared" si="15"/>
        <v>#REF!</v>
      </c>
      <c r="BJ234" s="56"/>
      <c r="BK234" s="56"/>
      <c r="BL234" s="56"/>
      <c r="BM234" s="56"/>
      <c r="BN234" s="56"/>
      <c r="BO234" s="56"/>
      <c r="BP234" s="93"/>
      <c r="BQ234" s="93"/>
      <c r="BR234" s="376"/>
      <c r="BS234" s="299"/>
      <c r="BT234" s="56"/>
      <c r="BU234" s="93"/>
      <c r="BV234" s="93"/>
      <c r="BW234" s="376"/>
      <c r="BX234" s="299"/>
      <c r="BY234" s="56"/>
      <c r="BZ234" s="56"/>
      <c r="CA234" s="136"/>
      <c r="CB234" s="136"/>
      <c r="CC234" s="56"/>
      <c r="CD234" s="56"/>
      <c r="CE234" s="56"/>
      <c r="CF234" s="56"/>
      <c r="CG234" s="56"/>
      <c r="CH234" s="56"/>
      <c r="CI234" s="56"/>
      <c r="CJ234" s="56"/>
      <c r="CK234" s="56"/>
      <c r="CL234" s="56"/>
      <c r="CM234" s="56"/>
      <c r="CN234" s="56"/>
      <c r="CO234" s="93"/>
      <c r="CP234" s="93"/>
      <c r="CQ234" s="93"/>
      <c r="CR234" s="93"/>
      <c r="CS234" s="93"/>
      <c r="CT234" s="93"/>
      <c r="CU234" s="93"/>
      <c r="CV234" s="377"/>
      <c r="CW234" s="93"/>
      <c r="CX234" s="93"/>
      <c r="CY234" s="93"/>
      <c r="CZ234" s="56"/>
      <c r="DA234" s="93"/>
      <c r="DB234" s="93"/>
      <c r="DC234" s="93"/>
      <c r="DD234" s="93"/>
      <c r="DE234" s="93"/>
      <c r="DF234" s="377"/>
      <c r="DG234" s="93"/>
    </row>
    <row r="235" spans="1:111">
      <c r="H235" s="39" t="s">
        <v>9</v>
      </c>
      <c r="I235" s="69" t="e">
        <f>B$228*'Mix Design'!C46+'Mix Design'!#REF!*C$228+D$228*'Mix Design'!#REF!</f>
        <v>#REF!</v>
      </c>
      <c r="J235" s="74" t="e">
        <f t="shared" si="14"/>
        <v>#REF!</v>
      </c>
      <c r="K235" s="69" t="e">
        <f t="shared" si="15"/>
        <v>#REF!</v>
      </c>
      <c r="BJ235" s="56"/>
      <c r="BK235" s="56"/>
      <c r="BL235" s="56"/>
      <c r="BM235" s="56"/>
      <c r="BN235" s="56"/>
      <c r="BO235" s="56"/>
      <c r="BP235" s="93"/>
      <c r="BQ235" s="93"/>
      <c r="BR235" s="376"/>
      <c r="BS235" s="299"/>
      <c r="BT235" s="56"/>
      <c r="BU235" s="93"/>
      <c r="BV235" s="93"/>
      <c r="BW235" s="376"/>
      <c r="BX235" s="299"/>
      <c r="BY235" s="56"/>
      <c r="BZ235" s="56"/>
      <c r="CA235" s="136"/>
      <c r="CB235" s="136"/>
      <c r="CC235" s="56"/>
      <c r="CD235" s="56"/>
      <c r="CE235" s="56"/>
      <c r="CF235" s="56"/>
      <c r="CG235" s="56"/>
      <c r="CH235" s="56"/>
      <c r="CI235" s="56"/>
      <c r="CJ235" s="56"/>
      <c r="CK235" s="56"/>
      <c r="CL235" s="56"/>
      <c r="CM235" s="56"/>
      <c r="CN235" s="56"/>
      <c r="CO235" s="56"/>
      <c r="CP235" s="56"/>
      <c r="CQ235" s="93"/>
      <c r="CR235" s="93"/>
      <c r="CS235" s="93"/>
      <c r="CT235" s="93"/>
      <c r="CU235" s="93"/>
      <c r="CV235" s="150"/>
      <c r="CW235" s="93"/>
      <c r="CX235" s="93"/>
      <c r="CY235" s="93"/>
      <c r="CZ235" s="56"/>
      <c r="DA235" s="93"/>
      <c r="DB235" s="93"/>
      <c r="DC235" s="93"/>
      <c r="DD235" s="93"/>
      <c r="DE235" s="93"/>
      <c r="DF235" s="150"/>
      <c r="DG235" s="93"/>
    </row>
    <row r="236" spans="1:111">
      <c r="H236" s="39" t="s">
        <v>10</v>
      </c>
      <c r="I236" s="69" t="e">
        <f>B$228*'Mix Design'!C47+'Mix Design'!#REF!*C$228+D$228*'Mix Design'!#REF!</f>
        <v>#REF!</v>
      </c>
      <c r="J236" s="74" t="e">
        <f t="shared" si="14"/>
        <v>#REF!</v>
      </c>
      <c r="K236" s="69" t="e">
        <f t="shared" si="15"/>
        <v>#REF!</v>
      </c>
      <c r="BJ236" s="56"/>
      <c r="BK236" s="56"/>
      <c r="BL236" s="56"/>
      <c r="BM236" s="56"/>
      <c r="BN236" s="56"/>
      <c r="BO236" s="56"/>
      <c r="BP236" s="56"/>
      <c r="BQ236" s="56"/>
      <c r="BR236" s="376"/>
      <c r="BS236" s="299"/>
      <c r="BT236" s="56"/>
      <c r="BU236" s="56"/>
      <c r="BV236" s="56"/>
      <c r="BW236" s="376"/>
      <c r="BX236" s="299"/>
      <c r="BY236" s="56"/>
      <c r="BZ236" s="56"/>
      <c r="CA236" s="136"/>
      <c r="CB236" s="136"/>
      <c r="CC236" s="56"/>
      <c r="CD236" s="56"/>
      <c r="CE236" s="56"/>
      <c r="CF236" s="56"/>
      <c r="CG236" s="56"/>
      <c r="CH236" s="56"/>
      <c r="CI236" s="56"/>
      <c r="CJ236" s="56"/>
      <c r="CK236" s="56"/>
      <c r="CL236" s="56"/>
      <c r="CM236" s="56"/>
      <c r="CN236" s="56"/>
      <c r="CO236" s="56"/>
      <c r="CP236" s="56"/>
      <c r="CQ236" s="93"/>
      <c r="CR236" s="93"/>
      <c r="CS236" s="93"/>
      <c r="CT236" s="93"/>
      <c r="CU236" s="93"/>
      <c r="CV236" s="150"/>
      <c r="CW236" s="93"/>
      <c r="CX236" s="93"/>
      <c r="CY236" s="93"/>
      <c r="CZ236" s="56"/>
      <c r="DA236" s="93"/>
      <c r="DB236" s="93"/>
      <c r="DC236" s="93"/>
      <c r="DD236" s="93"/>
      <c r="DE236" s="93"/>
      <c r="DF236" s="150"/>
      <c r="DG236" s="93"/>
    </row>
    <row r="237" spans="1:111">
      <c r="H237" s="40" t="s">
        <v>12</v>
      </c>
      <c r="I237" s="69" t="e">
        <f>B$228*'Mix Design'!#REF!+'Mix Design'!#REF!*C$228+D$228*'Mix Design'!#REF!</f>
        <v>#REF!</v>
      </c>
      <c r="J237" s="74" t="e">
        <f t="shared" si="14"/>
        <v>#REF!</v>
      </c>
      <c r="K237" s="69" t="e">
        <f t="shared" si="15"/>
        <v>#REF!</v>
      </c>
      <c r="BJ237" s="56"/>
      <c r="BK237" s="56"/>
      <c r="BL237" s="56"/>
      <c r="BM237" s="56"/>
      <c r="BN237" s="56"/>
      <c r="BO237" s="56"/>
      <c r="BP237" s="56"/>
      <c r="BQ237" s="56"/>
      <c r="BR237" s="56"/>
      <c r="BS237" s="56"/>
      <c r="BT237" s="56"/>
      <c r="BU237" s="56"/>
      <c r="BV237" s="56"/>
      <c r="BW237" s="136"/>
      <c r="BX237" s="56"/>
      <c r="BY237" s="56"/>
      <c r="BZ237" s="56"/>
      <c r="CA237" s="136"/>
      <c r="CB237" s="56"/>
      <c r="CC237" s="56"/>
      <c r="CD237" s="56"/>
      <c r="CE237" s="56"/>
      <c r="CF237" s="56"/>
      <c r="CG237" s="56"/>
      <c r="CH237" s="56"/>
      <c r="CI237" s="56"/>
      <c r="CJ237" s="56"/>
      <c r="CK237" s="56"/>
      <c r="CL237" s="56"/>
      <c r="CM237" s="56"/>
      <c r="CN237" s="56"/>
      <c r="CO237" s="56"/>
      <c r="CP237" s="56"/>
      <c r="CQ237" s="93"/>
      <c r="CR237" s="93"/>
      <c r="CS237" s="93"/>
      <c r="CT237" s="93"/>
      <c r="CU237" s="93"/>
      <c r="CV237" s="150"/>
      <c r="CW237" s="93"/>
      <c r="CX237" s="93"/>
      <c r="CY237" s="93"/>
      <c r="CZ237" s="56"/>
      <c r="DA237" s="93"/>
      <c r="DB237" s="93"/>
      <c r="DC237" s="93"/>
      <c r="DD237" s="93"/>
      <c r="DE237" s="93"/>
      <c r="DF237" s="150"/>
      <c r="DG237" s="93"/>
    </row>
    <row r="238" spans="1:111"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12"/>
      <c r="AD238" s="403"/>
      <c r="AE238" s="403"/>
      <c r="AF238" s="403"/>
      <c r="AG238" s="403"/>
      <c r="AH238" s="56"/>
      <c r="AI238" s="56"/>
      <c r="AJ238" s="56"/>
      <c r="AK238" s="56"/>
      <c r="AL238" s="56"/>
      <c r="AM238" s="93"/>
      <c r="AN238" s="175"/>
      <c r="AO238" s="175"/>
      <c r="AP238" s="175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6"/>
      <c r="BF238" s="56"/>
      <c r="BG238" s="56"/>
      <c r="BH238" s="56"/>
      <c r="BI238" s="56"/>
      <c r="BJ238" s="56"/>
      <c r="BK238" s="56"/>
      <c r="BL238" s="56"/>
      <c r="BM238" s="56"/>
      <c r="BN238" s="56"/>
      <c r="BO238" s="56"/>
      <c r="BP238" s="56"/>
      <c r="BQ238" s="56"/>
      <c r="BR238" s="56"/>
      <c r="BS238" s="56"/>
      <c r="BT238" s="56"/>
      <c r="BU238" s="150"/>
      <c r="BV238" s="177"/>
      <c r="BW238" s="150"/>
      <c r="BX238" s="93"/>
      <c r="BY238" s="320"/>
      <c r="BZ238" s="56"/>
      <c r="CA238" s="240"/>
      <c r="CB238" s="249"/>
      <c r="CC238" s="56"/>
      <c r="CD238" s="56"/>
      <c r="CE238" s="56"/>
      <c r="CF238" s="56"/>
      <c r="CG238" s="56"/>
      <c r="CH238" s="56"/>
      <c r="CI238" s="56"/>
      <c r="CJ238" s="56"/>
      <c r="CK238" s="93"/>
      <c r="CL238" s="56"/>
      <c r="CM238" s="56"/>
      <c r="CN238" s="56"/>
      <c r="CO238" s="56"/>
      <c r="CP238" s="56"/>
      <c r="CQ238" s="56"/>
      <c r="CR238" s="56"/>
      <c r="CS238" s="56"/>
      <c r="CT238" s="56"/>
      <c r="CU238" s="56"/>
      <c r="CV238" s="56"/>
      <c r="CW238" s="56"/>
      <c r="CX238" s="56"/>
      <c r="CY238" s="56"/>
      <c r="CZ238" s="56"/>
      <c r="DA238" s="56"/>
      <c r="DB238" s="56"/>
      <c r="DC238" s="56"/>
      <c r="DD238" s="56"/>
      <c r="DE238" s="56"/>
      <c r="DF238" s="56"/>
      <c r="DG238" s="56"/>
    </row>
    <row r="239" spans="1:111"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12"/>
      <c r="AD239" s="403"/>
      <c r="AE239" s="403"/>
      <c r="AF239" s="403"/>
      <c r="AG239" s="403"/>
      <c r="AH239" s="56"/>
      <c r="AI239" s="56"/>
      <c r="AJ239" s="176"/>
      <c r="AK239" s="56"/>
      <c r="AL239" s="56"/>
      <c r="AM239" s="93"/>
      <c r="AN239" s="82"/>
      <c r="AO239" s="82"/>
      <c r="AP239" s="82"/>
      <c r="AQ239" s="177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  <c r="BE239" s="56"/>
      <c r="BF239" s="56"/>
      <c r="BG239" s="56"/>
      <c r="BH239" s="56"/>
      <c r="BI239" s="56"/>
      <c r="BJ239" s="56"/>
      <c r="BK239" s="56"/>
      <c r="BL239" s="56"/>
      <c r="BM239" s="56"/>
      <c r="BN239" s="56"/>
      <c r="BO239" s="56"/>
      <c r="BP239" s="56"/>
      <c r="BQ239" s="56"/>
      <c r="BR239" s="56"/>
      <c r="BS239" s="56"/>
      <c r="BT239" s="56"/>
      <c r="BU239" s="150"/>
      <c r="BV239" s="177"/>
      <c r="BW239" s="150"/>
      <c r="BX239" s="93"/>
      <c r="BY239" s="320"/>
      <c r="BZ239" s="56"/>
      <c r="CA239" s="240"/>
      <c r="CB239" s="249"/>
      <c r="CC239" s="56"/>
      <c r="CD239" s="56"/>
      <c r="CE239" s="56"/>
      <c r="CF239" s="56"/>
      <c r="CG239" s="56"/>
      <c r="CH239" s="56"/>
      <c r="CI239" s="56"/>
      <c r="CJ239" s="56"/>
      <c r="CK239" s="175"/>
      <c r="CL239" s="56"/>
      <c r="CM239" s="56"/>
      <c r="CN239" s="56"/>
      <c r="CO239" s="56"/>
      <c r="CP239" s="56"/>
      <c r="CQ239" s="56"/>
      <c r="CR239" s="56"/>
      <c r="CS239" s="56"/>
      <c r="CT239" s="56"/>
      <c r="CU239" s="56"/>
      <c r="CV239" s="56"/>
      <c r="CW239" s="56"/>
      <c r="CX239" s="56"/>
      <c r="CY239" s="56"/>
      <c r="CZ239" s="56"/>
      <c r="DA239" s="56"/>
      <c r="DB239" s="56"/>
      <c r="DC239" s="56"/>
      <c r="DD239" s="56"/>
      <c r="DE239" s="56"/>
      <c r="DF239" s="56"/>
      <c r="DG239" s="56"/>
    </row>
    <row r="240" spans="1:111"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12"/>
      <c r="AD240" s="403"/>
      <c r="AE240" s="403"/>
      <c r="AF240" s="403"/>
      <c r="AG240" s="403"/>
      <c r="AH240" s="56"/>
      <c r="AI240" s="178"/>
      <c r="AJ240" s="83"/>
      <c r="AK240" s="56"/>
      <c r="AL240" s="56"/>
      <c r="AM240" s="93"/>
      <c r="AN240" s="82"/>
      <c r="AO240" s="82"/>
      <c r="AP240" s="82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  <c r="BE240" s="56"/>
      <c r="BF240" s="56"/>
      <c r="BG240" s="56"/>
      <c r="BH240" s="56"/>
      <c r="BI240" s="56"/>
      <c r="BJ240" s="56"/>
      <c r="BK240" s="56"/>
      <c r="BL240" s="56"/>
      <c r="BM240" s="56"/>
      <c r="BN240" s="56"/>
      <c r="BO240" s="56"/>
      <c r="BP240" s="56"/>
      <c r="BQ240" s="56"/>
      <c r="BR240" s="56"/>
      <c r="BS240" s="56"/>
      <c r="BT240" s="56"/>
      <c r="BU240" s="136"/>
      <c r="BV240" s="177"/>
      <c r="BW240" s="179"/>
      <c r="BX240" s="56"/>
      <c r="BY240" s="381"/>
      <c r="BZ240" s="56"/>
      <c r="CA240" s="56"/>
      <c r="CB240" s="56"/>
      <c r="CC240" s="56"/>
      <c r="CD240" s="56"/>
      <c r="CE240" s="56"/>
      <c r="CF240" s="56"/>
      <c r="CG240" s="56"/>
      <c r="CH240" s="56"/>
      <c r="CI240" s="56"/>
      <c r="CJ240" s="56"/>
      <c r="CK240" s="93"/>
      <c r="CL240" s="56"/>
      <c r="CM240" s="56"/>
      <c r="CN240" s="56"/>
      <c r="CO240" s="56"/>
      <c r="CP240" s="56"/>
      <c r="CQ240" s="56"/>
      <c r="CR240" s="56"/>
      <c r="CS240" s="56"/>
      <c r="CT240" s="56"/>
      <c r="CU240" s="56"/>
      <c r="CV240" s="56"/>
      <c r="CW240" s="56"/>
      <c r="CX240" s="56"/>
      <c r="CY240" s="56"/>
      <c r="CZ240" s="56"/>
      <c r="DA240" s="56"/>
      <c r="DB240" s="56"/>
      <c r="DC240" s="56"/>
      <c r="DD240" s="56"/>
      <c r="DE240" s="56"/>
      <c r="DF240" s="56"/>
      <c r="DG240" s="56"/>
    </row>
    <row r="241" spans="17:111"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12"/>
      <c r="AD241" s="403"/>
      <c r="AE241" s="403"/>
      <c r="AF241" s="403"/>
      <c r="AG241" s="403"/>
      <c r="AH241" s="56"/>
      <c r="AI241" s="178"/>
      <c r="AJ241" s="93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  <c r="BE241" s="56"/>
      <c r="BF241" s="56"/>
      <c r="BG241" s="56"/>
      <c r="BH241" s="56"/>
      <c r="BI241" s="56"/>
      <c r="BJ241" s="56"/>
      <c r="BK241" s="56"/>
      <c r="BL241" s="56"/>
      <c r="BM241" s="56"/>
      <c r="BN241" s="56"/>
      <c r="BO241" s="56"/>
      <c r="BP241" s="56"/>
      <c r="BQ241" s="56"/>
      <c r="BR241" s="56"/>
      <c r="BS241" s="56"/>
      <c r="BT241" s="56"/>
      <c r="BU241" s="56"/>
      <c r="BV241" s="56"/>
      <c r="BW241" s="93"/>
      <c r="BX241" s="93"/>
      <c r="BY241" s="56"/>
      <c r="BZ241" s="56"/>
      <c r="CA241" s="56"/>
      <c r="CB241" s="56"/>
      <c r="CC241" s="56"/>
      <c r="CD241" s="56"/>
      <c r="CE241" s="56"/>
      <c r="CF241" s="56"/>
      <c r="CG241" s="56"/>
      <c r="CH241" s="56"/>
      <c r="CI241" s="56"/>
      <c r="CJ241" s="56"/>
      <c r="CK241" s="93"/>
      <c r="CL241" s="56"/>
      <c r="CM241" s="56"/>
      <c r="CN241" s="56"/>
      <c r="CO241" s="56"/>
      <c r="CP241" s="56"/>
      <c r="CQ241" s="56"/>
      <c r="CR241" s="56"/>
      <c r="CS241" s="56"/>
      <c r="CT241" s="56"/>
      <c r="CU241" s="56"/>
      <c r="CV241" s="56"/>
      <c r="CW241" s="56"/>
      <c r="CX241" s="56"/>
      <c r="CY241" s="56"/>
      <c r="CZ241" s="56"/>
      <c r="DA241" s="56"/>
      <c r="DB241" s="56"/>
      <c r="DC241" s="56"/>
      <c r="DD241" s="56"/>
      <c r="DE241" s="56"/>
      <c r="DF241" s="56"/>
      <c r="DG241" s="56"/>
    </row>
    <row r="242" spans="17:111"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12"/>
      <c r="AD242" s="12"/>
      <c r="AE242" s="12"/>
      <c r="AF242" s="12"/>
      <c r="AG242" s="12"/>
      <c r="AH242" s="56"/>
      <c r="AI242" s="56"/>
      <c r="AJ242" s="56"/>
      <c r="AK242" s="56"/>
      <c r="AL242" s="56"/>
      <c r="AM242" s="56"/>
      <c r="AN242" s="93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  <c r="BE242" s="56"/>
      <c r="BF242" s="56"/>
      <c r="BG242" s="56"/>
      <c r="BH242" s="56"/>
      <c r="BI242" s="56"/>
      <c r="BJ242" s="56"/>
      <c r="BK242" s="56"/>
      <c r="BL242" s="56"/>
      <c r="BM242" s="56"/>
      <c r="BN242" s="56"/>
      <c r="BO242" s="56"/>
      <c r="BP242" s="56"/>
      <c r="BQ242" s="56"/>
      <c r="BR242" s="56"/>
      <c r="BS242" s="56"/>
      <c r="BT242" s="56"/>
      <c r="BU242" s="56"/>
      <c r="BV242" s="56"/>
      <c r="BW242" s="56"/>
      <c r="BX242" s="56"/>
      <c r="BY242" s="56"/>
      <c r="BZ242" s="56"/>
      <c r="CA242" s="56"/>
      <c r="CB242" s="56"/>
      <c r="CC242" s="56"/>
      <c r="CD242" s="56"/>
      <c r="CE242" s="56"/>
      <c r="CF242" s="56"/>
      <c r="CG242" s="56"/>
      <c r="CH242" s="56"/>
      <c r="CI242" s="56"/>
      <c r="CJ242" s="56"/>
      <c r="CK242" s="93"/>
      <c r="CL242" s="56"/>
      <c r="CM242" s="56"/>
      <c r="CN242" s="56"/>
      <c r="CO242" s="56"/>
      <c r="CP242" s="56"/>
      <c r="CQ242" s="56"/>
      <c r="CR242" s="56"/>
      <c r="CS242" s="56"/>
      <c r="CT242" s="56"/>
      <c r="CU242" s="56"/>
      <c r="CV242" s="56"/>
      <c r="CW242" s="56"/>
      <c r="CX242" s="56"/>
      <c r="CY242" s="56"/>
      <c r="CZ242" s="56"/>
      <c r="DA242" s="56"/>
      <c r="DB242" s="56"/>
      <c r="DC242" s="56"/>
      <c r="DD242" s="56"/>
      <c r="DE242" s="56"/>
      <c r="DF242" s="56"/>
      <c r="DG242" s="56"/>
    </row>
    <row r="243" spans="17:111"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12"/>
      <c r="AD243" s="12"/>
      <c r="AE243" s="12"/>
      <c r="AF243" s="12"/>
      <c r="AG243" s="12"/>
      <c r="AH243" s="56"/>
      <c r="AI243" s="56"/>
      <c r="AJ243" s="56"/>
      <c r="AK243" s="56"/>
      <c r="AL243" s="56"/>
      <c r="AM243" s="178"/>
      <c r="AN243" s="179"/>
      <c r="AO243" s="56"/>
      <c r="AP243" s="56"/>
      <c r="AQ243" s="56"/>
      <c r="AR243" s="56"/>
      <c r="AS243" s="56"/>
      <c r="AT243" s="56"/>
      <c r="AU243" s="56"/>
      <c r="AV243" s="56"/>
      <c r="AW243" s="56"/>
      <c r="AX243" s="56"/>
      <c r="AY243" s="56"/>
      <c r="AZ243" s="56"/>
      <c r="BA243" s="56"/>
      <c r="BB243" s="56"/>
      <c r="BC243" s="56"/>
      <c r="BD243" s="56"/>
      <c r="BE243" s="56"/>
      <c r="BF243" s="56"/>
      <c r="BG243" s="56"/>
      <c r="BH243" s="56"/>
      <c r="BI243" s="56"/>
      <c r="BJ243" s="56"/>
      <c r="BK243" s="56"/>
      <c r="BL243" s="56"/>
      <c r="BM243" s="56"/>
      <c r="BN243" s="56"/>
      <c r="BO243" s="56"/>
      <c r="BP243" s="56"/>
      <c r="BQ243" s="56"/>
      <c r="BR243" s="56"/>
      <c r="BS243" s="56"/>
      <c r="BT243" s="56"/>
      <c r="BU243" s="56"/>
      <c r="BV243" s="56"/>
      <c r="BW243" s="56"/>
      <c r="BX243" s="56"/>
      <c r="BY243" s="56"/>
      <c r="BZ243" s="56"/>
      <c r="CA243" s="56"/>
      <c r="CB243" s="56"/>
      <c r="CC243" s="56"/>
      <c r="CD243" s="56"/>
      <c r="CE243" s="56"/>
      <c r="CF243" s="56"/>
      <c r="CG243" s="56"/>
      <c r="CH243" s="56"/>
      <c r="CI243" s="56"/>
      <c r="CJ243" s="56"/>
      <c r="CK243" s="93"/>
      <c r="CL243" s="56"/>
      <c r="CM243" s="56"/>
      <c r="CN243" s="56"/>
      <c r="CO243" s="56"/>
      <c r="CP243" s="56"/>
      <c r="CQ243" s="56"/>
      <c r="CR243" s="56"/>
      <c r="CS243" s="56"/>
      <c r="CT243" s="56"/>
      <c r="CU243" s="56"/>
      <c r="CV243" s="56"/>
      <c r="CW243" s="56"/>
      <c r="CX243" s="56"/>
      <c r="CY243" s="56"/>
      <c r="CZ243" s="56"/>
      <c r="DA243" s="56"/>
      <c r="DB243" s="56"/>
      <c r="DC243" s="56"/>
      <c r="DD243" s="56"/>
      <c r="DE243" s="56"/>
      <c r="DF243" s="56"/>
      <c r="DG243" s="56"/>
    </row>
    <row r="244" spans="17:111"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12"/>
      <c r="AD244" s="12"/>
      <c r="AE244" s="12"/>
      <c r="AF244" s="12"/>
      <c r="AG244" s="12"/>
      <c r="AH244" s="56"/>
      <c r="AI244" s="178"/>
      <c r="AJ244" s="82"/>
      <c r="AK244" s="56"/>
      <c r="AL244" s="56"/>
      <c r="AM244" s="56"/>
      <c r="AN244" s="82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/>
      <c r="BD244" s="56"/>
      <c r="BE244" s="56"/>
      <c r="BF244" s="56"/>
      <c r="BG244" s="56"/>
      <c r="BH244" s="56"/>
      <c r="BI244" s="56"/>
      <c r="BJ244" s="56"/>
      <c r="BK244" s="56"/>
      <c r="BL244" s="56"/>
      <c r="BM244" s="56"/>
      <c r="BN244" s="56"/>
      <c r="BO244" s="56"/>
      <c r="BP244" s="56"/>
      <c r="BQ244" s="56"/>
      <c r="BR244" s="56"/>
      <c r="BS244" s="56"/>
      <c r="BT244" s="56"/>
      <c r="BU244" s="93"/>
      <c r="BV244" s="56"/>
      <c r="BW244" s="249"/>
      <c r="BX244" s="249"/>
      <c r="BY244" s="56"/>
      <c r="BZ244" s="56"/>
      <c r="CA244" s="56"/>
      <c r="CB244" s="56"/>
      <c r="CC244" s="56"/>
      <c r="CD244" s="56"/>
      <c r="CE244" s="56"/>
      <c r="CF244" s="56"/>
      <c r="CG244" s="56"/>
      <c r="CH244" s="56"/>
      <c r="CI244" s="56"/>
      <c r="CJ244" s="56"/>
      <c r="CK244" s="93"/>
      <c r="CL244" s="56"/>
      <c r="CM244" s="56"/>
      <c r="CN244" s="56"/>
      <c r="CO244" s="56"/>
      <c r="CP244" s="56"/>
      <c r="CQ244" s="56"/>
      <c r="CR244" s="56"/>
      <c r="CS244" s="56"/>
      <c r="CT244" s="56"/>
      <c r="CU244" s="56"/>
      <c r="CV244" s="56"/>
      <c r="CW244" s="56"/>
      <c r="CX244" s="56"/>
      <c r="CY244" s="56"/>
      <c r="CZ244" s="56"/>
      <c r="DA244" s="56"/>
      <c r="DB244" s="56"/>
      <c r="DC244" s="56"/>
      <c r="DD244" s="56"/>
      <c r="DE244" s="56"/>
      <c r="DF244" s="56"/>
      <c r="DG244" s="56"/>
    </row>
    <row r="245" spans="17:111"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6"/>
      <c r="BD245" s="56"/>
      <c r="BE245" s="56"/>
      <c r="BF245" s="56"/>
      <c r="BG245" s="56"/>
      <c r="BH245" s="56"/>
      <c r="BI245" s="56"/>
      <c r="BJ245" s="56"/>
      <c r="BK245" s="56"/>
      <c r="BL245" s="56"/>
      <c r="BM245" s="56"/>
      <c r="BN245" s="56"/>
      <c r="BO245" s="56"/>
      <c r="BP245" s="56"/>
      <c r="BQ245" s="56"/>
      <c r="BR245" s="56"/>
      <c r="BS245" s="56"/>
      <c r="BT245" s="56"/>
      <c r="BU245" s="56"/>
      <c r="BV245" s="56"/>
      <c r="BW245" s="56"/>
      <c r="BX245" s="56"/>
      <c r="BY245" s="56"/>
      <c r="BZ245" s="56"/>
      <c r="CA245" s="56"/>
      <c r="CB245" s="56"/>
      <c r="CC245" s="56"/>
      <c r="CD245" s="56"/>
      <c r="CE245" s="56"/>
      <c r="CF245" s="56"/>
      <c r="CG245" s="56"/>
      <c r="CH245" s="56"/>
      <c r="CI245" s="56"/>
      <c r="CJ245" s="56"/>
      <c r="CK245" s="56"/>
      <c r="CL245" s="56"/>
      <c r="CM245" s="56"/>
      <c r="CN245" s="56"/>
      <c r="CO245" s="56"/>
      <c r="CP245" s="56"/>
      <c r="CQ245" s="56"/>
      <c r="CR245" s="56"/>
      <c r="CS245" s="56"/>
      <c r="CT245" s="56"/>
      <c r="CU245" s="56"/>
      <c r="CV245" s="56"/>
      <c r="CW245" s="56"/>
      <c r="CX245" s="56"/>
      <c r="CY245" s="56"/>
      <c r="CZ245" s="56"/>
      <c r="DA245" s="56"/>
      <c r="DB245" s="56"/>
      <c r="DC245" s="56"/>
      <c r="DD245" s="56"/>
      <c r="DE245" s="56"/>
      <c r="DF245" s="56"/>
      <c r="DG245" s="56"/>
    </row>
    <row r="246" spans="17:111"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178"/>
      <c r="AN246" s="175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56"/>
      <c r="BD246" s="56"/>
      <c r="BE246" s="56"/>
      <c r="BF246" s="56"/>
      <c r="BG246" s="56"/>
      <c r="BH246" s="56"/>
      <c r="BI246" s="56"/>
      <c r="BJ246" s="56"/>
      <c r="BK246" s="56"/>
      <c r="BL246" s="56"/>
      <c r="BM246" s="56"/>
      <c r="BN246" s="56"/>
      <c r="BO246" s="56"/>
      <c r="BP246" s="56"/>
      <c r="BQ246" s="56"/>
      <c r="BR246" s="56"/>
      <c r="BS246" s="56"/>
      <c r="BT246" s="56"/>
      <c r="BU246" s="56"/>
      <c r="BV246" s="56"/>
      <c r="BW246" s="56"/>
      <c r="BX246" s="56"/>
      <c r="BY246" s="56"/>
      <c r="BZ246" s="56"/>
      <c r="CA246" s="56"/>
      <c r="CB246" s="56"/>
      <c r="CC246" s="56"/>
      <c r="CD246" s="56"/>
      <c r="CE246" s="56"/>
      <c r="CF246" s="56"/>
      <c r="CG246" s="56"/>
      <c r="CH246" s="56"/>
      <c r="CI246" s="56"/>
      <c r="CJ246" s="56"/>
      <c r="CK246" s="56"/>
      <c r="CL246" s="56"/>
      <c r="CM246" s="56"/>
      <c r="CN246" s="56"/>
      <c r="CO246" s="56"/>
      <c r="CP246" s="56"/>
      <c r="CQ246" s="56"/>
      <c r="CR246" s="56"/>
      <c r="CS246" s="56"/>
      <c r="CT246" s="56"/>
      <c r="CU246" s="56"/>
      <c r="CV246" s="56"/>
      <c r="CW246" s="56"/>
      <c r="CX246" s="56"/>
      <c r="CY246" s="56"/>
      <c r="CZ246" s="56"/>
      <c r="DA246" s="56"/>
      <c r="DB246" s="56"/>
      <c r="DC246" s="56"/>
      <c r="DD246" s="56"/>
      <c r="DE246" s="56"/>
      <c r="DF246" s="56"/>
      <c r="DG246" s="56"/>
    </row>
    <row r="247" spans="17:111"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174"/>
      <c r="AK247" s="56"/>
      <c r="AL247" s="56"/>
      <c r="AM247" s="178"/>
      <c r="AN247" s="82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56"/>
      <c r="BD247" s="56"/>
      <c r="BE247" s="56"/>
      <c r="BF247" s="56"/>
      <c r="BG247" s="56"/>
      <c r="BH247" s="56"/>
      <c r="BI247" s="56"/>
      <c r="BJ247" s="56"/>
      <c r="BK247" s="56"/>
      <c r="BL247" s="56"/>
      <c r="BM247" s="56"/>
      <c r="BN247" s="56"/>
      <c r="BO247" s="56"/>
      <c r="BP247" s="56"/>
      <c r="BQ247" s="56"/>
      <c r="BR247" s="56"/>
      <c r="BS247" s="56"/>
      <c r="BT247" s="56"/>
      <c r="BU247" s="56"/>
      <c r="BV247" s="56"/>
      <c r="BW247" s="56"/>
      <c r="BX247" s="56"/>
      <c r="BY247" s="56"/>
      <c r="BZ247" s="56"/>
      <c r="CA247" s="56"/>
      <c r="CB247" s="56"/>
      <c r="CC247" s="56"/>
      <c r="CD247" s="56"/>
      <c r="CE247" s="56"/>
      <c r="CF247" s="56"/>
      <c r="CG247" s="56"/>
      <c r="CH247" s="56"/>
      <c r="CI247" s="56"/>
      <c r="CJ247" s="56"/>
      <c r="CK247" s="56"/>
      <c r="CL247" s="56"/>
      <c r="CM247" s="56"/>
      <c r="CN247" s="56"/>
      <c r="CO247" s="56"/>
      <c r="CP247" s="56"/>
      <c r="CQ247" s="56"/>
      <c r="CR247" s="56"/>
      <c r="CS247" s="56"/>
      <c r="CT247" s="56"/>
      <c r="CU247" s="56"/>
      <c r="CV247" s="56"/>
      <c r="CW247" s="56"/>
      <c r="CX247" s="56"/>
      <c r="CY247" s="56"/>
      <c r="CZ247" s="56"/>
      <c r="DA247" s="56"/>
      <c r="DB247" s="56"/>
      <c r="DC247" s="56"/>
      <c r="DD247" s="56"/>
      <c r="DE247" s="56"/>
      <c r="DF247" s="56"/>
      <c r="DG247" s="56"/>
    </row>
    <row r="248" spans="17:111"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56"/>
      <c r="BF248" s="56"/>
      <c r="BG248" s="56"/>
      <c r="BH248" s="56"/>
      <c r="BI248" s="56"/>
      <c r="BJ248" s="56"/>
      <c r="BK248" s="56"/>
      <c r="BL248" s="56"/>
      <c r="BM248" s="56"/>
      <c r="BN248" s="56"/>
      <c r="BO248" s="93"/>
      <c r="BP248" s="93"/>
      <c r="BQ248" s="93"/>
      <c r="BR248" s="93"/>
      <c r="BS248" s="56"/>
      <c r="BT248" s="56"/>
      <c r="BU248" s="56"/>
      <c r="BV248" s="56"/>
      <c r="BW248" s="56"/>
      <c r="BX248" s="379"/>
      <c r="BY248" s="56"/>
      <c r="BZ248" s="93"/>
      <c r="CA248" s="56"/>
      <c r="CB248" s="56"/>
      <c r="CC248" s="56"/>
      <c r="CD248" s="56"/>
      <c r="CE248" s="56"/>
      <c r="CF248" s="56"/>
      <c r="CG248" s="56"/>
      <c r="CH248" s="56"/>
      <c r="CI248" s="56"/>
      <c r="CJ248" s="56"/>
      <c r="CK248" s="56"/>
      <c r="CL248" s="56"/>
      <c r="CM248" s="56"/>
      <c r="CN248" s="56"/>
      <c r="CO248" s="56"/>
      <c r="CP248" s="56"/>
      <c r="CQ248" s="56"/>
      <c r="CR248" s="56"/>
      <c r="CS248" s="56"/>
      <c r="CT248" s="56"/>
      <c r="CU248" s="56"/>
      <c r="CV248" s="56"/>
      <c r="CW248" s="56"/>
      <c r="CX248" s="56"/>
      <c r="CY248" s="56"/>
      <c r="CZ248" s="56"/>
      <c r="DA248" s="56"/>
      <c r="DB248" s="56"/>
      <c r="DC248" s="56"/>
      <c r="DD248" s="56"/>
      <c r="DE248" s="56"/>
      <c r="DF248" s="56"/>
      <c r="DG248" s="56"/>
    </row>
    <row r="249" spans="17:111">
      <c r="Q249" s="56"/>
      <c r="R249" s="56"/>
      <c r="S249" s="56"/>
      <c r="T249" s="56"/>
      <c r="U249" s="56"/>
      <c r="V249" s="56"/>
      <c r="W249" s="56"/>
      <c r="X249" s="56"/>
      <c r="Y249" s="180"/>
      <c r="Z249" s="180"/>
      <c r="AA249" s="180"/>
      <c r="AB249" s="180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56"/>
      <c r="BD249" s="56"/>
      <c r="BE249" s="56"/>
      <c r="BF249" s="56"/>
      <c r="BG249" s="56"/>
      <c r="BH249" s="56"/>
      <c r="BI249" s="56"/>
      <c r="BJ249" s="56"/>
      <c r="BK249" s="56"/>
      <c r="BL249" s="56"/>
      <c r="BM249" s="56"/>
      <c r="BN249" s="56"/>
      <c r="BO249" s="56"/>
      <c r="BP249" s="56"/>
      <c r="BQ249" s="56"/>
      <c r="BR249" s="56"/>
      <c r="BS249" s="56"/>
      <c r="BT249" s="56"/>
      <c r="BU249" s="380"/>
      <c r="BV249" s="177"/>
      <c r="BW249" s="56"/>
      <c r="BX249" s="379"/>
      <c r="BY249" s="320"/>
      <c r="BZ249" s="249"/>
      <c r="CA249" s="56"/>
      <c r="CB249" s="56"/>
      <c r="CC249" s="56"/>
      <c r="CD249" s="56"/>
      <c r="CE249" s="56"/>
      <c r="CF249" s="56"/>
      <c r="CG249" s="56"/>
      <c r="CH249" s="56"/>
      <c r="CI249" s="56"/>
      <c r="CJ249" s="56"/>
      <c r="CK249" s="56"/>
      <c r="CL249" s="56"/>
      <c r="CM249" s="56"/>
      <c r="CN249" s="56"/>
      <c r="CO249" s="56"/>
      <c r="CP249" s="56"/>
      <c r="CQ249" s="56"/>
      <c r="CR249" s="56"/>
      <c r="CS249" s="56"/>
      <c r="CT249" s="56"/>
      <c r="CU249" s="56"/>
      <c r="CV249" s="56"/>
      <c r="CW249" s="56"/>
      <c r="CX249" s="56"/>
      <c r="CY249" s="56"/>
      <c r="CZ249" s="56"/>
      <c r="DA249" s="56"/>
      <c r="DB249" s="56"/>
      <c r="DC249" s="56"/>
      <c r="DD249" s="56"/>
      <c r="DE249" s="56"/>
      <c r="DF249" s="56"/>
      <c r="DG249" s="56"/>
    </row>
    <row r="250" spans="17:111">
      <c r="Q250" s="56"/>
      <c r="R250" s="56"/>
      <c r="S250" s="56"/>
      <c r="T250" s="3"/>
      <c r="U250" s="3"/>
      <c r="V250" s="3"/>
      <c r="W250" s="3"/>
      <c r="X250" s="56"/>
      <c r="Y250" s="56"/>
      <c r="Z250" s="181"/>
      <c r="AA250" s="181"/>
      <c r="AB250" s="181"/>
      <c r="AC250" s="56"/>
      <c r="AD250" s="56"/>
      <c r="AE250" s="56"/>
      <c r="AF250" s="176"/>
      <c r="AG250" s="176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  <c r="AW250" s="56"/>
      <c r="AX250" s="56"/>
      <c r="AY250" s="56"/>
      <c r="AZ250" s="56"/>
      <c r="BA250" s="56"/>
      <c r="BB250" s="56"/>
      <c r="BC250" s="56"/>
      <c r="BD250" s="56"/>
      <c r="BE250" s="56"/>
      <c r="BF250" s="56"/>
      <c r="BG250" s="56"/>
      <c r="BH250" s="56"/>
      <c r="BI250" s="56"/>
      <c r="BJ250" s="56"/>
      <c r="BK250" s="56"/>
      <c r="BL250" s="56"/>
      <c r="BM250" s="56"/>
      <c r="BN250" s="56"/>
      <c r="BO250" s="56"/>
      <c r="BP250" s="56"/>
      <c r="BQ250" s="56"/>
      <c r="BR250" s="56"/>
      <c r="BS250" s="1"/>
      <c r="BT250" s="56"/>
      <c r="BU250" s="150"/>
      <c r="BV250" s="177"/>
      <c r="BW250" s="56"/>
      <c r="BX250" s="93"/>
      <c r="BY250" s="320"/>
      <c r="BZ250" s="249"/>
      <c r="CA250" s="56"/>
      <c r="CB250" s="56"/>
      <c r="CC250" s="56"/>
      <c r="CD250" s="56"/>
      <c r="CE250" s="56"/>
      <c r="CF250" s="56"/>
      <c r="CG250" s="56"/>
      <c r="CH250" s="56"/>
      <c r="CI250" s="56"/>
      <c r="CJ250" s="56"/>
      <c r="CK250" s="56"/>
      <c r="CL250" s="56"/>
      <c r="CM250" s="56"/>
      <c r="CN250" s="56"/>
      <c r="CO250" s="56"/>
      <c r="CP250" s="56"/>
      <c r="CQ250" s="56"/>
      <c r="CR250" s="56"/>
      <c r="CS250" s="56"/>
      <c r="CT250" s="56"/>
      <c r="CU250" s="56"/>
      <c r="CV250" s="56"/>
      <c r="CW250" s="56"/>
      <c r="CX250" s="56"/>
      <c r="CY250" s="56"/>
      <c r="CZ250" s="56"/>
      <c r="DA250" s="56"/>
      <c r="DB250" s="56"/>
      <c r="DC250" s="56"/>
      <c r="DD250" s="56"/>
      <c r="DE250" s="56"/>
      <c r="DF250" s="56"/>
      <c r="DG250" s="56"/>
    </row>
    <row r="251" spans="17:111">
      <c r="Q251" s="56"/>
      <c r="R251" s="56"/>
      <c r="S251" s="56"/>
      <c r="T251" s="56"/>
      <c r="U251" s="56"/>
      <c r="V251" s="56"/>
      <c r="W251" s="56"/>
      <c r="X251" s="56"/>
      <c r="Y251" s="182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178"/>
      <c r="AL251" s="175"/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56"/>
      <c r="BD251" s="56"/>
      <c r="BE251" s="56"/>
      <c r="BF251" s="56"/>
      <c r="BG251" s="56"/>
      <c r="BH251" s="56"/>
      <c r="BI251" s="56"/>
      <c r="BJ251" s="56"/>
      <c r="BK251" s="56"/>
      <c r="BL251" s="56"/>
      <c r="BM251" s="56"/>
      <c r="BN251" s="56"/>
      <c r="BO251" s="56"/>
      <c r="BP251" s="56"/>
      <c r="BQ251" s="56"/>
      <c r="BR251" s="56"/>
      <c r="BS251" s="56"/>
      <c r="BT251" s="56"/>
      <c r="BU251" s="150"/>
      <c r="BV251" s="177"/>
      <c r="BW251" s="56"/>
      <c r="BX251" s="93"/>
      <c r="BY251" s="320"/>
      <c r="BZ251" s="249"/>
      <c r="CA251" s="56"/>
      <c r="CB251" s="56"/>
      <c r="CC251" s="56"/>
      <c r="CD251" s="56"/>
      <c r="CE251" s="56"/>
      <c r="CF251" s="56"/>
      <c r="CG251" s="56"/>
      <c r="CH251" s="56"/>
      <c r="CI251" s="56"/>
      <c r="CJ251" s="56"/>
      <c r="CK251" s="56"/>
      <c r="CL251" s="56"/>
      <c r="CM251" s="56"/>
      <c r="CN251" s="56"/>
      <c r="CO251" s="56"/>
      <c r="CP251" s="56"/>
      <c r="CQ251" s="56"/>
      <c r="CR251" s="56"/>
      <c r="CS251" s="56"/>
      <c r="CT251" s="56"/>
      <c r="CU251" s="56"/>
      <c r="CV251" s="56"/>
      <c r="CW251" s="56"/>
      <c r="CX251" s="56"/>
      <c r="CY251" s="56"/>
      <c r="CZ251" s="56"/>
      <c r="DA251" s="56"/>
      <c r="DB251" s="56"/>
      <c r="DC251" s="56"/>
      <c r="DD251" s="56"/>
      <c r="DE251" s="56"/>
      <c r="DF251" s="56"/>
      <c r="DG251" s="56"/>
    </row>
    <row r="252" spans="17:111">
      <c r="Q252" s="56"/>
      <c r="R252" s="56"/>
      <c r="S252" s="56"/>
      <c r="T252" s="56"/>
      <c r="U252" s="56"/>
      <c r="V252" s="56"/>
      <c r="W252" s="56"/>
      <c r="X252" s="56"/>
      <c r="Y252" s="93"/>
      <c r="Z252" s="83"/>
      <c r="AA252" s="82"/>
      <c r="AB252" s="83"/>
      <c r="AC252" s="56"/>
      <c r="AD252" s="56"/>
      <c r="AE252" s="56"/>
      <c r="AF252" s="56"/>
      <c r="AG252" s="93"/>
      <c r="AH252" s="93"/>
      <c r="AI252" s="56"/>
      <c r="AJ252" s="56"/>
      <c r="AK252" s="56"/>
      <c r="AL252" s="174"/>
      <c r="AM252" s="178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  <c r="BK252" s="56"/>
      <c r="BL252" s="56"/>
      <c r="BM252" s="56"/>
      <c r="BN252" s="56"/>
      <c r="BO252" s="56"/>
      <c r="BP252" s="56"/>
      <c r="BQ252" s="56"/>
      <c r="BR252" s="56"/>
      <c r="BS252" s="56"/>
      <c r="BT252" s="56"/>
      <c r="BU252" s="136"/>
      <c r="BV252" s="177"/>
      <c r="BW252" s="56"/>
      <c r="BX252" s="93"/>
      <c r="BY252" s="56"/>
      <c r="BZ252" s="56"/>
      <c r="CA252" s="56"/>
      <c r="CB252" s="56"/>
      <c r="CC252" s="56"/>
      <c r="CD252" s="56"/>
      <c r="CE252" s="56"/>
      <c r="CF252" s="56"/>
      <c r="CG252" s="56"/>
      <c r="CH252" s="56"/>
      <c r="CI252" s="56"/>
      <c r="CJ252" s="56"/>
      <c r="CK252" s="56"/>
      <c r="CL252" s="56"/>
      <c r="CM252" s="56"/>
      <c r="CN252" s="56"/>
      <c r="CO252" s="56"/>
      <c r="CP252" s="56"/>
      <c r="CQ252" s="56"/>
      <c r="CR252" s="56"/>
      <c r="CS252" s="56"/>
      <c r="CT252" s="56"/>
      <c r="CU252" s="56"/>
      <c r="CV252" s="56"/>
      <c r="CW252" s="56"/>
      <c r="CX252" s="56"/>
      <c r="CY252" s="56"/>
      <c r="CZ252" s="56"/>
      <c r="DA252" s="56"/>
      <c r="DB252" s="56"/>
      <c r="DC252" s="56"/>
      <c r="DD252" s="56"/>
      <c r="DE252" s="56"/>
      <c r="DF252" s="56"/>
      <c r="DG252" s="56"/>
    </row>
    <row r="253" spans="17:111">
      <c r="Q253" s="56"/>
      <c r="R253" s="56"/>
      <c r="S253" s="56"/>
      <c r="T253" s="183"/>
      <c r="U253" s="183"/>
      <c r="V253" s="183"/>
      <c r="W253" s="56"/>
      <c r="X253" s="56"/>
      <c r="Y253" s="93"/>
      <c r="Z253" s="83"/>
      <c r="AA253" s="82"/>
      <c r="AB253" s="83"/>
      <c r="AC253" s="56"/>
      <c r="AD253" s="56"/>
      <c r="AE253" s="56"/>
      <c r="AF253" s="178"/>
      <c r="AG253" s="175"/>
      <c r="AH253" s="175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  <c r="BD253" s="56"/>
      <c r="BE253" s="56"/>
      <c r="BF253" s="56"/>
      <c r="BG253" s="56"/>
      <c r="BH253" s="56"/>
      <c r="BI253" s="56"/>
      <c r="BJ253" s="56"/>
      <c r="BK253" s="56"/>
      <c r="BL253" s="56"/>
      <c r="BM253" s="56"/>
      <c r="BN253" s="56"/>
      <c r="BO253" s="56"/>
      <c r="BP253" s="56"/>
      <c r="BQ253" s="56"/>
      <c r="BR253" s="56"/>
      <c r="BS253" s="56"/>
      <c r="BT253" s="56"/>
      <c r="BU253" s="56"/>
      <c r="BV253" s="56"/>
      <c r="BW253" s="56"/>
      <c r="BX253" s="56"/>
      <c r="BY253" s="56"/>
      <c r="BZ253" s="56"/>
      <c r="CA253" s="56"/>
      <c r="CB253" s="56"/>
      <c r="CC253" s="56"/>
      <c r="CD253" s="56"/>
      <c r="CE253" s="56"/>
      <c r="CF253" s="56"/>
      <c r="CG253" s="56"/>
      <c r="CH253" s="56"/>
      <c r="CI253" s="56"/>
      <c r="CJ253" s="56"/>
      <c r="CK253" s="56"/>
      <c r="CL253" s="56"/>
      <c r="CM253" s="56"/>
      <c r="CN253" s="56"/>
      <c r="CO253" s="56"/>
      <c r="CP253" s="56"/>
      <c r="CQ253" s="56"/>
      <c r="CR253" s="56"/>
      <c r="CS253" s="56"/>
      <c r="CT253" s="56"/>
      <c r="CU253" s="56"/>
      <c r="CV253" s="56"/>
      <c r="CW253" s="56"/>
      <c r="CX253" s="56"/>
      <c r="CY253" s="56"/>
      <c r="CZ253" s="56"/>
      <c r="DA253" s="56"/>
      <c r="DB253" s="56"/>
      <c r="DC253" s="56"/>
      <c r="DD253" s="56"/>
      <c r="DE253" s="56"/>
      <c r="DF253" s="56"/>
      <c r="DG253" s="56"/>
    </row>
    <row r="254" spans="17:111">
      <c r="Q254" s="56"/>
      <c r="R254" s="56"/>
      <c r="S254" s="56"/>
      <c r="T254" s="174"/>
      <c r="U254" s="174"/>
      <c r="V254" s="174"/>
      <c r="W254" s="56"/>
      <c r="X254" s="56"/>
      <c r="Y254" s="93"/>
      <c r="Z254" s="83"/>
      <c r="AA254" s="82"/>
      <c r="AB254" s="83"/>
      <c r="AC254" s="56"/>
      <c r="AD254" s="56"/>
      <c r="AE254" s="56"/>
      <c r="AF254" s="178"/>
      <c r="AG254" s="82"/>
      <c r="AH254" s="82"/>
      <c r="AI254" s="56"/>
      <c r="AJ254" s="56"/>
      <c r="AK254" s="56"/>
      <c r="AL254" s="56"/>
      <c r="AM254" s="144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/>
      <c r="BD254" s="56"/>
      <c r="BE254" s="56"/>
      <c r="BF254" s="56"/>
      <c r="BG254" s="56"/>
      <c r="BH254" s="56"/>
      <c r="BI254" s="56"/>
      <c r="BJ254" s="56"/>
      <c r="BK254" s="56"/>
      <c r="BL254" s="56"/>
      <c r="BM254" s="56"/>
      <c r="BN254" s="56"/>
      <c r="BO254" s="56"/>
      <c r="BP254" s="56"/>
      <c r="BQ254" s="56"/>
      <c r="BR254" s="56"/>
      <c r="BS254" s="56"/>
      <c r="BT254" s="56"/>
      <c r="BU254" s="93"/>
      <c r="BV254" s="93"/>
      <c r="BW254" s="249"/>
      <c r="BX254" s="249"/>
      <c r="BY254" s="56"/>
      <c r="BZ254" s="56"/>
      <c r="CA254" s="56"/>
      <c r="CB254" s="56"/>
      <c r="CC254" s="56"/>
      <c r="CD254" s="56"/>
      <c r="CE254" s="56"/>
      <c r="CF254" s="56"/>
      <c r="CG254" s="56"/>
      <c r="CH254" s="56"/>
      <c r="CI254" s="56"/>
      <c r="CJ254" s="56"/>
      <c r="CK254" s="56"/>
      <c r="CL254" s="56"/>
      <c r="CM254" s="56"/>
      <c r="CN254" s="56"/>
      <c r="CO254" s="56"/>
      <c r="CP254" s="56"/>
      <c r="CQ254" s="56"/>
      <c r="CR254" s="56"/>
      <c r="CS254" s="56"/>
      <c r="CT254" s="56"/>
      <c r="CU254" s="56"/>
      <c r="CV254" s="56"/>
      <c r="CW254" s="56"/>
      <c r="CX254" s="56"/>
      <c r="CY254" s="56"/>
      <c r="CZ254" s="56"/>
      <c r="DA254" s="56"/>
      <c r="DB254" s="56"/>
      <c r="DC254" s="56"/>
      <c r="DD254" s="56"/>
      <c r="DE254" s="56"/>
      <c r="DF254" s="56"/>
      <c r="DG254" s="56"/>
    </row>
    <row r="255" spans="17:111">
      <c r="Q255" s="56"/>
      <c r="R255" s="56"/>
      <c r="S255" s="56"/>
      <c r="T255" s="56"/>
      <c r="U255" s="56"/>
      <c r="V255" s="56"/>
      <c r="W255" s="56"/>
      <c r="X255" s="56"/>
      <c r="Y255" s="93"/>
      <c r="Z255" s="83"/>
      <c r="AA255" s="82"/>
      <c r="AB255" s="83"/>
      <c r="AC255" s="56"/>
      <c r="AD255" s="56"/>
      <c r="AE255" s="56"/>
      <c r="AF255" s="56"/>
      <c r="AG255" s="56"/>
      <c r="AH255" s="56"/>
      <c r="AI255" s="56"/>
      <c r="AJ255" s="93"/>
      <c r="AK255" s="82"/>
      <c r="AL255" s="82"/>
      <c r="AM255" s="145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6"/>
      <c r="BF255" s="56"/>
      <c r="BG255" s="56"/>
      <c r="BH255" s="56"/>
      <c r="BI255" s="56"/>
      <c r="BJ255" s="56"/>
      <c r="BK255" s="56"/>
      <c r="BL255" s="56"/>
      <c r="BM255" s="56"/>
      <c r="BN255" s="56"/>
      <c r="BO255" s="56"/>
      <c r="BP255" s="56"/>
      <c r="BQ255" s="56"/>
      <c r="BR255" s="56"/>
      <c r="BS255" s="56"/>
      <c r="BT255" s="56"/>
      <c r="BU255" s="56"/>
      <c r="BV255" s="56"/>
      <c r="BW255" s="56"/>
      <c r="BX255" s="56"/>
      <c r="BY255" s="56"/>
      <c r="BZ255" s="56"/>
      <c r="CA255" s="56"/>
      <c r="CB255" s="56"/>
      <c r="CC255" s="56"/>
      <c r="CD255" s="56"/>
      <c r="CE255" s="56"/>
      <c r="CF255" s="56"/>
      <c r="CG255" s="56"/>
      <c r="CH255" s="56"/>
      <c r="CI255" s="56"/>
      <c r="CJ255" s="56"/>
      <c r="CK255" s="56"/>
      <c r="CL255" s="56"/>
      <c r="CM255" s="56"/>
      <c r="CN255" s="56"/>
      <c r="CO255" s="56"/>
      <c r="CP255" s="56"/>
      <c r="CQ255" s="56"/>
      <c r="CR255" s="56"/>
      <c r="CS255" s="56"/>
      <c r="CT255" s="56"/>
      <c r="CU255" s="56"/>
      <c r="CV255" s="56"/>
      <c r="CW255" s="56"/>
      <c r="CX255" s="56"/>
      <c r="CY255" s="56"/>
      <c r="CZ255" s="56"/>
      <c r="DA255" s="56"/>
      <c r="DB255" s="56"/>
      <c r="DC255" s="56"/>
      <c r="DD255" s="56"/>
      <c r="DE255" s="56"/>
      <c r="DF255" s="56"/>
      <c r="DG255" s="56"/>
    </row>
    <row r="256" spans="17:111">
      <c r="Q256" s="56"/>
      <c r="R256" s="56"/>
      <c r="S256" s="56"/>
      <c r="T256" s="56"/>
      <c r="U256" s="56"/>
      <c r="V256" s="56"/>
      <c r="W256" s="56"/>
      <c r="X256" s="56"/>
      <c r="Y256" s="93"/>
      <c r="Z256" s="83"/>
      <c r="AA256" s="82"/>
      <c r="AB256" s="83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56"/>
      <c r="AZ256" s="56"/>
      <c r="BA256" s="56"/>
      <c r="BB256" s="56"/>
      <c r="BC256" s="56"/>
      <c r="BD256" s="56"/>
      <c r="BE256" s="56"/>
      <c r="BF256" s="56"/>
      <c r="BG256" s="56"/>
      <c r="BH256" s="56"/>
      <c r="BI256" s="56"/>
      <c r="BJ256" s="56"/>
      <c r="BK256" s="56"/>
      <c r="BL256" s="56"/>
      <c r="BM256" s="56"/>
      <c r="BN256" s="56"/>
      <c r="BO256" s="56"/>
      <c r="BP256" s="56"/>
      <c r="BQ256" s="56"/>
      <c r="BR256" s="56"/>
      <c r="BS256" s="56"/>
      <c r="BT256" s="56"/>
      <c r="BU256" s="56"/>
      <c r="BV256" s="56"/>
      <c r="BW256" s="56"/>
      <c r="BX256" s="56"/>
      <c r="BY256" s="56"/>
      <c r="BZ256" s="56"/>
      <c r="CA256" s="56"/>
      <c r="CB256" s="56"/>
      <c r="CC256" s="56"/>
      <c r="CD256" s="56"/>
      <c r="CE256" s="56"/>
      <c r="CF256" s="56"/>
      <c r="CG256" s="56"/>
      <c r="CH256" s="56"/>
      <c r="CI256" s="56"/>
      <c r="CJ256" s="56"/>
      <c r="CK256" s="56"/>
      <c r="CL256" s="56"/>
      <c r="CM256" s="56"/>
      <c r="CN256" s="56"/>
      <c r="CO256" s="56"/>
      <c r="CP256" s="56"/>
      <c r="CQ256" s="56"/>
      <c r="CR256" s="56"/>
      <c r="CS256" s="56"/>
      <c r="CT256" s="56"/>
      <c r="CU256" s="56"/>
      <c r="CV256" s="56"/>
      <c r="CW256" s="56"/>
      <c r="CX256" s="56"/>
      <c r="CY256" s="56"/>
      <c r="CZ256" s="56"/>
      <c r="DA256" s="56"/>
      <c r="DB256" s="56"/>
      <c r="DC256" s="56"/>
      <c r="DD256" s="56"/>
      <c r="DE256" s="56"/>
      <c r="DF256" s="56"/>
      <c r="DG256" s="56"/>
    </row>
    <row r="257" spans="17:111">
      <c r="Q257" s="56"/>
      <c r="R257" s="56"/>
      <c r="S257" s="56"/>
      <c r="T257" s="56"/>
      <c r="U257" s="56"/>
      <c r="V257" s="56"/>
      <c r="W257" s="56"/>
      <c r="X257" s="56"/>
      <c r="Y257" s="93"/>
      <c r="Z257" s="83"/>
      <c r="AA257" s="82"/>
      <c r="AB257" s="83"/>
      <c r="AC257" s="56"/>
      <c r="AD257" s="56"/>
      <c r="AE257" s="56"/>
      <c r="AF257" s="181"/>
      <c r="AG257" s="181"/>
      <c r="AH257" s="184"/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  <c r="AS257" s="56"/>
      <c r="AT257" s="56"/>
      <c r="AU257" s="56"/>
      <c r="AV257" s="56"/>
      <c r="AW257" s="56"/>
      <c r="AX257" s="56"/>
      <c r="AY257" s="56"/>
      <c r="AZ257" s="56"/>
      <c r="BA257" s="56"/>
      <c r="BB257" s="56"/>
      <c r="BC257" s="56"/>
      <c r="BD257" s="56"/>
      <c r="BE257" s="56"/>
      <c r="BF257" s="56"/>
      <c r="BG257" s="56"/>
      <c r="BH257" s="56"/>
      <c r="BI257" s="56"/>
      <c r="BJ257" s="56"/>
      <c r="BK257" s="56"/>
      <c r="BL257" s="56"/>
      <c r="BM257" s="56"/>
      <c r="BN257" s="56"/>
      <c r="BO257" s="56"/>
      <c r="BP257" s="56"/>
      <c r="BQ257" s="56"/>
      <c r="BR257" s="56"/>
      <c r="BS257" s="56"/>
      <c r="BT257" s="56"/>
      <c r="BU257" s="56"/>
      <c r="BV257" s="56"/>
      <c r="BW257" s="56"/>
      <c r="BX257" s="56"/>
      <c r="BY257" s="56"/>
      <c r="BZ257" s="56"/>
      <c r="CA257" s="56"/>
      <c r="CB257" s="56"/>
      <c r="CC257" s="56"/>
      <c r="CD257" s="56"/>
      <c r="CE257" s="56"/>
      <c r="CF257" s="56"/>
      <c r="CG257" s="56"/>
      <c r="CH257" s="56"/>
      <c r="CI257" s="56"/>
      <c r="CJ257" s="56"/>
      <c r="CK257" s="56"/>
      <c r="CL257" s="56"/>
      <c r="CM257" s="56"/>
      <c r="CN257" s="56"/>
      <c r="CO257" s="56"/>
      <c r="CP257" s="56"/>
      <c r="CQ257" s="56"/>
      <c r="CR257" s="56"/>
      <c r="CS257" s="56"/>
      <c r="CT257" s="56"/>
      <c r="CU257" s="56"/>
      <c r="CV257" s="56"/>
      <c r="CW257" s="56"/>
      <c r="CX257" s="56"/>
      <c r="CY257" s="56"/>
      <c r="CZ257" s="56"/>
      <c r="DA257" s="56"/>
      <c r="DB257" s="56"/>
      <c r="DC257" s="56"/>
      <c r="DD257" s="56"/>
      <c r="DE257" s="56"/>
      <c r="DF257" s="56"/>
      <c r="DG257" s="56"/>
    </row>
    <row r="258" spans="17:111">
      <c r="Q258" s="56"/>
      <c r="R258" s="56"/>
      <c r="S258" s="56"/>
      <c r="T258" s="56"/>
      <c r="U258" s="56"/>
      <c r="V258" s="56"/>
      <c r="W258" s="56"/>
      <c r="X258" s="56"/>
      <c r="Y258" s="93"/>
      <c r="Z258" s="83"/>
      <c r="AA258" s="82"/>
      <c r="AB258" s="83"/>
      <c r="AC258" s="56"/>
      <c r="AD258" s="56"/>
      <c r="AE258" s="56"/>
      <c r="AF258" s="56"/>
      <c r="AG258" s="56"/>
      <c r="AH258" s="56"/>
      <c r="AI258" s="56"/>
      <c r="AJ258" s="56"/>
      <c r="AK258" s="56"/>
      <c r="AL258" s="56"/>
      <c r="AM258" s="93"/>
      <c r="AN258" s="82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56"/>
      <c r="AZ258" s="56"/>
      <c r="BA258" s="56"/>
      <c r="BB258" s="56"/>
      <c r="BC258" s="56"/>
      <c r="BD258" s="56"/>
      <c r="BE258" s="56"/>
      <c r="BF258" s="56"/>
      <c r="BG258" s="56"/>
      <c r="BH258" s="56"/>
      <c r="BI258" s="56"/>
      <c r="BJ258" s="56"/>
      <c r="BK258" s="56"/>
      <c r="BL258" s="56"/>
      <c r="BM258" s="56"/>
      <c r="BN258" s="56"/>
      <c r="BO258" s="56"/>
      <c r="BP258" s="56"/>
      <c r="BQ258" s="56"/>
      <c r="BR258" s="56"/>
      <c r="BS258" s="56"/>
      <c r="BT258" s="56"/>
      <c r="BU258" s="56"/>
      <c r="BV258" s="56"/>
      <c r="BW258" s="56"/>
      <c r="BX258" s="56"/>
      <c r="BY258" s="56"/>
      <c r="BZ258" s="56"/>
      <c r="CA258" s="56"/>
      <c r="CB258" s="56"/>
      <c r="CC258" s="56"/>
      <c r="CD258" s="56"/>
      <c r="CE258" s="56"/>
      <c r="CF258" s="56"/>
      <c r="CG258" s="56"/>
      <c r="CH258" s="56"/>
      <c r="CI258" s="56"/>
      <c r="CJ258" s="56"/>
      <c r="CK258" s="56"/>
      <c r="CL258" s="56"/>
      <c r="CM258" s="56"/>
      <c r="CN258" s="56"/>
      <c r="CO258" s="56"/>
      <c r="CP258" s="56"/>
      <c r="CQ258" s="56"/>
      <c r="CR258" s="56"/>
      <c r="CS258" s="56"/>
      <c r="CT258" s="56"/>
      <c r="CU258" s="56"/>
      <c r="CV258" s="56"/>
      <c r="CW258" s="56"/>
      <c r="CX258" s="56"/>
      <c r="CY258" s="56"/>
      <c r="CZ258" s="56"/>
      <c r="DA258" s="56"/>
      <c r="DB258" s="56"/>
      <c r="DC258" s="56"/>
      <c r="DD258" s="56"/>
      <c r="DE258" s="56"/>
      <c r="DF258" s="56"/>
      <c r="DG258" s="56"/>
    </row>
    <row r="259" spans="17:111">
      <c r="Q259" s="56"/>
      <c r="R259" s="56"/>
      <c r="S259" s="56"/>
      <c r="T259" s="56"/>
      <c r="U259" s="56"/>
      <c r="V259" s="56"/>
      <c r="W259" s="56"/>
      <c r="X259" s="56"/>
      <c r="Y259" s="93"/>
      <c r="Z259" s="83"/>
      <c r="AA259" s="82"/>
      <c r="AB259" s="83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93"/>
      <c r="AN259" s="82"/>
      <c r="AO259" s="56"/>
      <c r="AP259" s="56"/>
      <c r="AQ259" s="56"/>
      <c r="AR259" s="56"/>
      <c r="AS259" s="56"/>
      <c r="AT259" s="56"/>
      <c r="AU259" s="56"/>
      <c r="AV259" s="56"/>
      <c r="AW259" s="56"/>
      <c r="AX259" s="56"/>
      <c r="AY259" s="56"/>
      <c r="AZ259" s="56"/>
      <c r="BA259" s="56"/>
      <c r="BB259" s="56"/>
      <c r="BC259" s="56"/>
      <c r="BD259" s="56"/>
      <c r="BE259" s="56"/>
      <c r="BF259" s="56"/>
      <c r="BG259" s="56"/>
      <c r="BH259" s="56"/>
      <c r="BI259" s="56"/>
      <c r="BJ259" s="56"/>
      <c r="BK259" s="56"/>
      <c r="BL259" s="56"/>
      <c r="BM259" s="56"/>
      <c r="BN259" s="56"/>
      <c r="BO259" s="56"/>
      <c r="BP259" s="56"/>
      <c r="BQ259" s="56"/>
      <c r="BR259" s="56"/>
      <c r="BS259" s="56"/>
      <c r="BT259" s="56"/>
      <c r="BU259" s="56"/>
      <c r="BV259" s="56"/>
      <c r="BW259" s="56"/>
      <c r="BX259" s="56"/>
      <c r="BY259" s="56"/>
      <c r="BZ259" s="56"/>
      <c r="CA259" s="56"/>
      <c r="CB259" s="56"/>
      <c r="CC259" s="56"/>
      <c r="CD259" s="56"/>
      <c r="CE259" s="56"/>
      <c r="CF259" s="56"/>
      <c r="CG259" s="56"/>
      <c r="CH259" s="56"/>
      <c r="CI259" s="56"/>
      <c r="CJ259" s="56"/>
      <c r="CK259" s="56"/>
      <c r="CL259" s="56"/>
      <c r="CM259" s="56"/>
      <c r="CN259" s="56"/>
      <c r="CO259" s="56"/>
      <c r="CP259" s="56"/>
      <c r="CQ259" s="56"/>
      <c r="CR259" s="56"/>
      <c r="CS259" s="56"/>
      <c r="CT259" s="56"/>
      <c r="CU259" s="56"/>
      <c r="CV259" s="56"/>
      <c r="CW259" s="56"/>
      <c r="CX259" s="56"/>
      <c r="CY259" s="56"/>
      <c r="CZ259" s="56"/>
      <c r="DA259" s="56"/>
      <c r="DB259" s="56"/>
      <c r="DC259" s="56"/>
      <c r="DD259" s="56"/>
      <c r="DE259" s="56"/>
      <c r="DF259" s="56"/>
      <c r="DG259" s="56"/>
    </row>
    <row r="260" spans="17:111">
      <c r="Q260" s="56"/>
      <c r="R260" s="56"/>
      <c r="S260" s="56"/>
      <c r="T260" s="56"/>
      <c r="U260" s="56"/>
      <c r="V260" s="56"/>
      <c r="W260" s="56"/>
      <c r="X260" s="56"/>
      <c r="Y260" s="93"/>
      <c r="Z260" s="83"/>
      <c r="AA260" s="82"/>
      <c r="AB260" s="83"/>
      <c r="AC260" s="56"/>
      <c r="AD260" s="56"/>
      <c r="AE260" s="56"/>
      <c r="AF260" s="56"/>
      <c r="AG260" s="185"/>
      <c r="AH260" s="56"/>
      <c r="AI260" s="56"/>
      <c r="AJ260" s="56"/>
      <c r="AK260" s="17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  <c r="BD260" s="56"/>
      <c r="BE260" s="56"/>
      <c r="BF260" s="56"/>
      <c r="BG260" s="56"/>
      <c r="BH260" s="56"/>
      <c r="BI260" s="56"/>
      <c r="BJ260" s="56"/>
      <c r="BK260" s="56"/>
      <c r="BL260" s="56"/>
      <c r="BM260" s="56"/>
      <c r="BN260" s="56"/>
      <c r="BO260" s="56"/>
      <c r="BP260" s="56"/>
      <c r="BQ260" s="56"/>
      <c r="BR260" s="56"/>
      <c r="BS260" s="56"/>
      <c r="BT260" s="56"/>
      <c r="BU260" s="56"/>
      <c r="BV260" s="56"/>
      <c r="BW260" s="56"/>
      <c r="BX260" s="56"/>
      <c r="BY260" s="56"/>
      <c r="BZ260" s="56"/>
      <c r="CA260" s="56"/>
      <c r="CB260" s="56"/>
      <c r="CC260" s="56"/>
      <c r="CD260" s="56"/>
      <c r="CE260" s="56"/>
      <c r="CF260" s="56"/>
      <c r="CG260" s="56"/>
      <c r="CH260" s="56"/>
      <c r="CI260" s="56"/>
      <c r="CJ260" s="56"/>
      <c r="CK260" s="56"/>
      <c r="CL260" s="56"/>
      <c r="CM260" s="56"/>
      <c r="CN260" s="56"/>
      <c r="CO260" s="56"/>
      <c r="CP260" s="56"/>
      <c r="CQ260" s="56"/>
      <c r="CR260" s="56"/>
      <c r="CS260" s="56"/>
      <c r="CT260" s="56"/>
      <c r="CU260" s="56"/>
      <c r="CV260" s="56"/>
      <c r="CW260" s="56"/>
      <c r="CX260" s="56"/>
      <c r="CY260" s="56"/>
      <c r="CZ260" s="56"/>
      <c r="DA260" s="56"/>
      <c r="DB260" s="56"/>
      <c r="DC260" s="56"/>
      <c r="DD260" s="56"/>
      <c r="DE260" s="56"/>
      <c r="DF260" s="56"/>
      <c r="DG260" s="56"/>
    </row>
    <row r="261" spans="17:111">
      <c r="Q261" s="56"/>
      <c r="R261" s="56"/>
      <c r="S261" s="56"/>
      <c r="T261" s="56"/>
      <c r="U261" s="56"/>
      <c r="V261" s="56"/>
      <c r="W261" s="56"/>
      <c r="X261" s="56"/>
      <c r="Y261" s="93"/>
      <c r="Z261" s="83"/>
      <c r="AA261" s="82"/>
      <c r="AB261" s="83"/>
      <c r="AC261" s="56"/>
      <c r="AD261" s="56"/>
      <c r="AE261" s="56"/>
      <c r="AF261" s="56"/>
      <c r="AG261" s="56"/>
      <c r="AH261" s="82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  <c r="BB261" s="56"/>
      <c r="BC261" s="56"/>
      <c r="BD261" s="56"/>
      <c r="BE261" s="56"/>
      <c r="BF261" s="56"/>
      <c r="BG261" s="56"/>
      <c r="BH261" s="56"/>
      <c r="BI261" s="56"/>
      <c r="BJ261" s="56"/>
      <c r="BK261" s="56"/>
      <c r="BL261" s="56"/>
      <c r="BM261" s="56"/>
      <c r="BN261" s="56"/>
      <c r="BO261" s="56"/>
      <c r="BP261" s="56"/>
      <c r="BQ261" s="56"/>
      <c r="BR261" s="56"/>
      <c r="BS261" s="56"/>
      <c r="BT261" s="56"/>
      <c r="BU261" s="56"/>
      <c r="BV261" s="56"/>
      <c r="BW261" s="56"/>
      <c r="BX261" s="56"/>
      <c r="BY261" s="56"/>
      <c r="BZ261" s="56"/>
      <c r="CA261" s="56"/>
      <c r="CB261" s="56"/>
      <c r="CC261" s="56"/>
      <c r="CD261" s="56"/>
      <c r="CE261" s="56"/>
      <c r="CF261" s="56"/>
      <c r="CG261" s="56"/>
      <c r="CH261" s="56"/>
      <c r="CI261" s="56"/>
      <c r="CJ261" s="56"/>
      <c r="CK261" s="56"/>
      <c r="CL261" s="56"/>
      <c r="CM261" s="56"/>
      <c r="CN261" s="56"/>
      <c r="CO261" s="56"/>
      <c r="CP261" s="56"/>
      <c r="CQ261" s="56"/>
      <c r="CR261" s="56"/>
      <c r="CS261" s="56"/>
      <c r="CT261" s="56"/>
      <c r="CU261" s="56"/>
      <c r="CV261" s="56"/>
      <c r="CW261" s="56"/>
      <c r="CX261" s="56"/>
      <c r="CY261" s="56"/>
      <c r="CZ261" s="56"/>
      <c r="DA261" s="56"/>
      <c r="DB261" s="56"/>
      <c r="DC261" s="56"/>
      <c r="DD261" s="56"/>
      <c r="DE261" s="56"/>
      <c r="DF261" s="56"/>
      <c r="DG261" s="56"/>
    </row>
    <row r="262" spans="17:111">
      <c r="Q262" s="56"/>
      <c r="R262" s="56"/>
      <c r="S262" s="56"/>
      <c r="T262" s="56"/>
      <c r="U262" s="56"/>
      <c r="V262" s="56"/>
      <c r="W262" s="56"/>
      <c r="X262" s="56"/>
      <c r="Y262" s="93"/>
      <c r="Z262" s="83"/>
      <c r="AA262" s="82"/>
      <c r="AB262" s="83"/>
      <c r="AC262" s="56"/>
      <c r="AD262" s="56"/>
      <c r="AE262" s="56"/>
      <c r="AF262" s="175"/>
      <c r="AG262" s="82"/>
      <c r="AH262" s="82"/>
      <c r="AI262" s="82"/>
      <c r="AJ262" s="82"/>
      <c r="AK262" s="175"/>
      <c r="AL262" s="175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  <c r="BC262" s="56"/>
      <c r="BD262" s="56"/>
      <c r="BE262" s="56"/>
      <c r="BF262" s="56"/>
      <c r="BG262" s="56"/>
      <c r="BH262" s="56"/>
      <c r="BI262" s="56"/>
    </row>
    <row r="263" spans="17:111">
      <c r="Q263" s="56"/>
      <c r="R263" s="56"/>
      <c r="S263" s="56"/>
      <c r="T263" s="56"/>
      <c r="U263" s="56"/>
      <c r="V263" s="56"/>
      <c r="W263" s="56"/>
      <c r="X263" s="56"/>
      <c r="Y263" s="93"/>
      <c r="Z263" s="83"/>
      <c r="AA263" s="82"/>
      <c r="AB263" s="83"/>
      <c r="AC263" s="56"/>
      <c r="AD263" s="56"/>
      <c r="AE263" s="56"/>
      <c r="AF263" s="82"/>
      <c r="AG263" s="82"/>
      <c r="AH263" s="56"/>
      <c r="AI263" s="82"/>
      <c r="AJ263" s="82"/>
      <c r="AK263" s="174"/>
      <c r="AL263" s="82"/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/>
      <c r="BD263" s="56"/>
      <c r="BE263" s="56"/>
      <c r="BF263" s="56"/>
      <c r="BG263" s="56"/>
      <c r="BH263" s="56"/>
      <c r="BI263" s="56"/>
    </row>
    <row r="264" spans="17:111"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179"/>
      <c r="AG264" s="179"/>
      <c r="AH264" s="56"/>
      <c r="AI264" s="93"/>
      <c r="AJ264" s="93"/>
      <c r="AK264" s="136"/>
      <c r="AL264" s="136"/>
      <c r="AM264" s="56"/>
      <c r="AN264" s="56"/>
      <c r="AO264" s="56"/>
      <c r="AP264" s="56"/>
      <c r="AQ264" s="56"/>
      <c r="AR264" s="56"/>
      <c r="AS264" s="56"/>
      <c r="AT264" s="56"/>
      <c r="AU264" s="56"/>
      <c r="AV264" s="93"/>
      <c r="AW264" s="93"/>
      <c r="AX264" s="56"/>
      <c r="AY264" s="56"/>
      <c r="AZ264" s="93"/>
      <c r="BA264" s="56"/>
      <c r="BB264" s="56"/>
      <c r="BC264" s="93"/>
      <c r="BD264" s="56"/>
      <c r="BE264" s="56"/>
      <c r="BF264" s="56"/>
      <c r="BG264" s="56"/>
      <c r="BH264" s="56"/>
      <c r="BI264" s="56"/>
    </row>
    <row r="265" spans="17:111"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178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93"/>
      <c r="AW265" s="83"/>
      <c r="AX265" s="56"/>
      <c r="AY265" s="56"/>
      <c r="AZ265" s="93"/>
      <c r="BA265" s="186"/>
      <c r="BB265" s="186"/>
      <c r="BC265" s="93"/>
      <c r="BD265" s="56"/>
      <c r="BE265" s="56"/>
      <c r="BF265" s="56"/>
      <c r="BG265" s="56"/>
      <c r="BH265" s="56"/>
      <c r="BI265" s="56"/>
    </row>
    <row r="266" spans="17:111"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  <c r="AS266" s="56"/>
      <c r="AT266" s="56"/>
      <c r="AU266" s="56"/>
      <c r="AV266" s="93"/>
      <c r="AW266" s="83"/>
      <c r="AX266" s="56"/>
      <c r="AY266" s="56"/>
      <c r="AZ266" s="56"/>
      <c r="BA266" s="56"/>
      <c r="BB266" s="56"/>
      <c r="BC266" s="56"/>
      <c r="BD266" s="56"/>
      <c r="BE266" s="56"/>
      <c r="BF266" s="56"/>
      <c r="BG266" s="56"/>
      <c r="BH266" s="56"/>
      <c r="BI266" s="56"/>
    </row>
    <row r="267" spans="17:111"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187"/>
      <c r="AG267" s="187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  <c r="BD267" s="56"/>
      <c r="BE267" s="56"/>
      <c r="BF267" s="56"/>
      <c r="BG267" s="56"/>
      <c r="BH267" s="56"/>
      <c r="BI267" s="56"/>
    </row>
    <row r="268" spans="17:111"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56"/>
      <c r="AT268" s="56"/>
      <c r="AU268" s="56"/>
      <c r="AV268" s="56"/>
      <c r="AW268" s="56"/>
      <c r="AX268" s="56"/>
      <c r="AY268" s="56"/>
      <c r="AZ268" s="56"/>
      <c r="BA268" s="56"/>
      <c r="BB268" s="56"/>
      <c r="BC268" s="56"/>
      <c r="BD268" s="56"/>
      <c r="BE268" s="56"/>
      <c r="BF268" s="56"/>
      <c r="BG268" s="56"/>
      <c r="BH268" s="56"/>
      <c r="BI268" s="56"/>
    </row>
    <row r="269" spans="17:111"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93"/>
      <c r="AG269" s="83"/>
      <c r="AH269" s="56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56"/>
      <c r="AT269" s="56"/>
      <c r="AU269" s="56"/>
      <c r="AV269" s="56"/>
      <c r="AW269" s="56"/>
      <c r="AX269" s="56"/>
      <c r="AY269" s="56"/>
      <c r="AZ269" s="56"/>
      <c r="BA269" s="56"/>
      <c r="BB269" s="56"/>
      <c r="BC269" s="56"/>
      <c r="BD269" s="56"/>
      <c r="BE269" s="56"/>
      <c r="BF269" s="56"/>
      <c r="BG269" s="56"/>
      <c r="BH269" s="56"/>
      <c r="BI269" s="56"/>
    </row>
    <row r="270" spans="17:111"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93"/>
      <c r="AG270" s="83"/>
      <c r="AH270" s="56"/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  <c r="AS270" s="56"/>
      <c r="AT270" s="56"/>
      <c r="AU270" s="56"/>
      <c r="AV270" s="56"/>
      <c r="AW270" s="56"/>
      <c r="AX270" s="56"/>
      <c r="AY270" s="56"/>
      <c r="AZ270" s="56"/>
      <c r="BA270" s="56"/>
      <c r="BB270" s="56"/>
      <c r="BC270" s="56"/>
      <c r="BD270" s="56"/>
      <c r="BE270" s="56"/>
      <c r="BF270" s="56"/>
      <c r="BG270" s="56"/>
      <c r="BH270" s="56"/>
      <c r="BI270" s="56"/>
    </row>
    <row r="271" spans="17:111"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93"/>
      <c r="AG271" s="83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  <c r="BC271" s="56"/>
      <c r="BD271" s="56"/>
      <c r="BE271" s="56"/>
      <c r="BF271" s="56"/>
      <c r="BG271" s="56"/>
      <c r="BH271" s="56"/>
      <c r="BI271" s="56"/>
    </row>
    <row r="272" spans="17:111"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  <c r="BD272" s="56"/>
      <c r="BE272" s="56"/>
      <c r="BF272" s="56"/>
      <c r="BG272" s="56"/>
      <c r="BH272" s="56"/>
      <c r="BI272" s="56"/>
    </row>
    <row r="273" spans="17:61"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/>
      <c r="AQ273" s="56"/>
      <c r="AR273" s="56"/>
      <c r="AS273" s="56"/>
      <c r="AT273" s="56"/>
      <c r="AU273" s="56"/>
      <c r="AV273" s="56"/>
      <c r="AW273" s="56"/>
      <c r="AX273" s="56"/>
      <c r="AY273" s="56"/>
      <c r="AZ273" s="56"/>
      <c r="BA273" s="56"/>
      <c r="BB273" s="56"/>
      <c r="BC273" s="56"/>
      <c r="BD273" s="56"/>
      <c r="BE273" s="56"/>
      <c r="BF273" s="56"/>
      <c r="BG273" s="56"/>
      <c r="BH273" s="56"/>
      <c r="BI273" s="56"/>
    </row>
    <row r="274" spans="17:61"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  <c r="AG274" s="56"/>
      <c r="AH274" s="56"/>
      <c r="AI274" s="56"/>
      <c r="AJ274" s="56"/>
      <c r="AK274" s="56"/>
      <c r="AL274" s="56"/>
      <c r="AM274" s="56"/>
      <c r="AN274" s="56"/>
      <c r="AO274" s="56"/>
      <c r="AP274" s="56"/>
      <c r="AQ274" s="56"/>
      <c r="AR274" s="56"/>
      <c r="AS274" s="56"/>
      <c r="AT274" s="56"/>
      <c r="AU274" s="56"/>
      <c r="AV274" s="56"/>
      <c r="AW274" s="56"/>
      <c r="AX274" s="56"/>
      <c r="AY274" s="56"/>
      <c r="AZ274" s="56"/>
      <c r="BA274" s="56"/>
      <c r="BB274" s="56"/>
      <c r="BC274" s="56"/>
      <c r="BD274" s="56"/>
      <c r="BE274" s="56"/>
      <c r="BF274" s="56"/>
      <c r="BG274" s="56"/>
      <c r="BH274" s="56"/>
      <c r="BI274" s="56"/>
    </row>
    <row r="275" spans="17:61"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  <c r="AG275" s="56"/>
      <c r="AH275" s="56"/>
      <c r="AI275" s="56"/>
      <c r="AJ275" s="56"/>
      <c r="AK275" s="56"/>
      <c r="AL275" s="56"/>
      <c r="AM275" s="56"/>
      <c r="AN275" s="56"/>
      <c r="AO275" s="56"/>
      <c r="AP275" s="56"/>
      <c r="AQ275" s="56"/>
      <c r="AR275" s="56"/>
      <c r="AS275" s="56"/>
      <c r="AT275" s="56"/>
      <c r="AU275" s="56"/>
      <c r="AV275" s="56"/>
      <c r="AW275" s="56"/>
      <c r="AX275" s="56"/>
      <c r="AY275" s="56"/>
      <c r="AZ275" s="56"/>
      <c r="BA275" s="56"/>
      <c r="BB275" s="56"/>
      <c r="BC275" s="56"/>
      <c r="BD275" s="56"/>
      <c r="BE275" s="56"/>
      <c r="BF275" s="56"/>
      <c r="BG275" s="56"/>
      <c r="BH275" s="56"/>
      <c r="BI275" s="56"/>
    </row>
    <row r="276" spans="17:61"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  <c r="AK276" s="56"/>
      <c r="AL276" s="56"/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56"/>
      <c r="AZ276" s="56"/>
      <c r="BA276" s="56"/>
      <c r="BB276" s="56"/>
      <c r="BC276" s="56"/>
      <c r="BD276" s="56"/>
      <c r="BE276" s="56"/>
      <c r="BF276" s="56"/>
      <c r="BG276" s="56"/>
      <c r="BH276" s="56"/>
      <c r="BI276" s="56"/>
    </row>
    <row r="277" spans="17:61"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  <c r="AW277" s="56"/>
      <c r="AX277" s="56"/>
      <c r="AY277" s="56"/>
      <c r="AZ277" s="56"/>
      <c r="BA277" s="56"/>
      <c r="BB277" s="56"/>
      <c r="BC277" s="56"/>
      <c r="BD277" s="56"/>
      <c r="BE277" s="56"/>
      <c r="BF277" s="56"/>
      <c r="BG277" s="56"/>
      <c r="BH277" s="56"/>
      <c r="BI277" s="56"/>
    </row>
    <row r="278" spans="17:61"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  <c r="AF278" s="56"/>
      <c r="AG278" s="56"/>
      <c r="AH278" s="56"/>
      <c r="AI278" s="56"/>
      <c r="AJ278" s="56"/>
      <c r="AK278" s="56"/>
      <c r="AL278" s="56"/>
      <c r="AM278" s="56"/>
      <c r="AN278" s="56"/>
      <c r="AO278" s="56"/>
      <c r="AP278" s="56"/>
      <c r="AQ278" s="56"/>
      <c r="AR278" s="56"/>
      <c r="AS278" s="56"/>
      <c r="AT278" s="56"/>
      <c r="AU278" s="56"/>
      <c r="AV278" s="56"/>
      <c r="AW278" s="56"/>
      <c r="AX278" s="56"/>
      <c r="AY278" s="56"/>
      <c r="AZ278" s="56"/>
      <c r="BA278" s="56"/>
      <c r="BB278" s="56"/>
      <c r="BC278" s="56"/>
      <c r="BD278" s="56"/>
      <c r="BE278" s="56"/>
      <c r="BF278" s="56"/>
      <c r="BG278" s="56"/>
      <c r="BH278" s="56"/>
      <c r="BI278" s="56"/>
    </row>
    <row r="279" spans="17:61"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  <c r="AG279" s="56"/>
      <c r="AH279" s="56"/>
      <c r="AI279" s="56"/>
      <c r="AJ279" s="56"/>
      <c r="AK279" s="56"/>
      <c r="AL279" s="56"/>
      <c r="AM279" s="56"/>
      <c r="AN279" s="56"/>
      <c r="AO279" s="56"/>
      <c r="AP279" s="56"/>
      <c r="AQ279" s="56"/>
      <c r="AR279" s="56"/>
      <c r="AS279" s="56"/>
      <c r="AT279" s="56"/>
      <c r="AU279" s="56"/>
      <c r="AV279" s="56"/>
      <c r="AW279" s="56"/>
      <c r="AX279" s="56"/>
      <c r="AY279" s="56"/>
      <c r="AZ279" s="56"/>
      <c r="BA279" s="56"/>
      <c r="BB279" s="56"/>
      <c r="BC279" s="56"/>
      <c r="BD279" s="56"/>
      <c r="BE279" s="56"/>
      <c r="BF279" s="56"/>
      <c r="BG279" s="56"/>
      <c r="BH279" s="56"/>
      <c r="BI279" s="56"/>
    </row>
    <row r="280" spans="17:61"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/>
      <c r="AM280" s="56"/>
      <c r="AN280" s="56"/>
      <c r="AO280" s="56"/>
      <c r="AP280" s="56"/>
      <c r="AQ280" s="56"/>
      <c r="AR280" s="56"/>
      <c r="AS280" s="56"/>
      <c r="AT280" s="56"/>
      <c r="AU280" s="56"/>
      <c r="AV280" s="56"/>
      <c r="AW280" s="56"/>
      <c r="AX280" s="56"/>
      <c r="AY280" s="56"/>
      <c r="AZ280" s="56"/>
      <c r="BA280" s="56"/>
      <c r="BB280" s="56"/>
      <c r="BC280" s="56"/>
      <c r="BD280" s="56"/>
      <c r="BE280" s="56"/>
      <c r="BF280" s="56"/>
      <c r="BG280" s="56"/>
      <c r="BH280" s="56"/>
      <c r="BI280" s="56"/>
    </row>
    <row r="281" spans="17:61"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  <c r="AE281" s="56"/>
      <c r="AF281" s="56"/>
      <c r="AG281" s="56"/>
      <c r="AH281" s="56"/>
      <c r="AI281" s="56"/>
      <c r="AJ281" s="56"/>
      <c r="AK281" s="56"/>
      <c r="AL281" s="56"/>
      <c r="AM281" s="56"/>
      <c r="AN281" s="56"/>
      <c r="AO281" s="56"/>
      <c r="AP281" s="56"/>
      <c r="AQ281" s="56"/>
      <c r="AR281" s="56"/>
      <c r="AS281" s="56"/>
      <c r="AT281" s="56"/>
      <c r="AU281" s="56"/>
      <c r="AV281" s="56"/>
      <c r="AW281" s="56"/>
      <c r="AX281" s="56"/>
      <c r="AY281" s="56"/>
      <c r="AZ281" s="56"/>
      <c r="BA281" s="56"/>
      <c r="BB281" s="56"/>
      <c r="BC281" s="56"/>
      <c r="BD281" s="56"/>
      <c r="BE281" s="56"/>
      <c r="BF281" s="56"/>
      <c r="BG281" s="56"/>
      <c r="BH281" s="56"/>
      <c r="BI281" s="56"/>
    </row>
    <row r="282" spans="17:61"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  <c r="AE282" s="56"/>
      <c r="AF282" s="56"/>
      <c r="AG282" s="56"/>
      <c r="AH282" s="56"/>
      <c r="AI282" s="56"/>
      <c r="AJ282" s="56"/>
      <c r="AK282" s="56"/>
      <c r="AL282" s="56"/>
      <c r="AM282" s="56"/>
      <c r="AN282" s="56"/>
      <c r="AO282" s="56"/>
      <c r="AP282" s="56"/>
      <c r="AQ282" s="56"/>
      <c r="AR282" s="56"/>
      <c r="AS282" s="56"/>
      <c r="AT282" s="56"/>
      <c r="AU282" s="56"/>
      <c r="AV282" s="56"/>
      <c r="AW282" s="56"/>
      <c r="AX282" s="56"/>
      <c r="AY282" s="56"/>
      <c r="AZ282" s="56"/>
      <c r="BA282" s="56"/>
      <c r="BB282" s="56"/>
      <c r="BC282" s="56"/>
      <c r="BD282" s="56"/>
      <c r="BE282" s="56"/>
      <c r="BF282" s="56"/>
      <c r="BG282" s="56"/>
      <c r="BH282" s="56"/>
      <c r="BI282" s="56"/>
    </row>
    <row r="283" spans="17:61"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  <c r="AF283" s="56"/>
      <c r="AG283" s="56"/>
      <c r="AH283" s="56"/>
      <c r="AI283" s="56"/>
      <c r="AJ283" s="56"/>
      <c r="AK283" s="56"/>
      <c r="AL283" s="56"/>
      <c r="AM283" s="56"/>
      <c r="AN283" s="56"/>
      <c r="AO283" s="56"/>
      <c r="AP283" s="56"/>
      <c r="AQ283" s="56"/>
      <c r="AR283" s="56"/>
      <c r="AS283" s="56"/>
      <c r="AT283" s="56"/>
      <c r="AU283" s="56"/>
      <c r="AV283" s="56"/>
      <c r="AW283" s="56"/>
      <c r="AX283" s="56"/>
      <c r="AY283" s="56"/>
      <c r="AZ283" s="56"/>
      <c r="BA283" s="56"/>
      <c r="BB283" s="56"/>
      <c r="BC283" s="56"/>
      <c r="BD283" s="56"/>
      <c r="BE283" s="56"/>
      <c r="BF283" s="56"/>
      <c r="BG283" s="56"/>
      <c r="BH283" s="56"/>
      <c r="BI283" s="56"/>
    </row>
  </sheetData>
  <mergeCells count="5">
    <mergeCell ref="AC56:AC57"/>
    <mergeCell ref="AD56:AD57"/>
    <mergeCell ref="AE56:AE57"/>
    <mergeCell ref="AF56:AF57"/>
    <mergeCell ref="AG56:AG57"/>
  </mergeCell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CI247"/>
  <sheetViews>
    <sheetView workbookViewId="0">
      <pane xSplit="18750" topLeftCell="BJ1"/>
      <selection activeCell="F22" sqref="F22:F23"/>
      <selection pane="topRight" activeCell="BK20" sqref="BK20:BK21"/>
    </sheetView>
  </sheetViews>
  <sheetFormatPr defaultRowHeight="15"/>
  <cols>
    <col min="9" max="9" width="10.42578125" style="36" customWidth="1"/>
    <col min="48" max="48" width="11.28515625" customWidth="1"/>
    <col min="70" max="70" width="18.85546875" customWidth="1"/>
    <col min="74" max="74" width="11.28515625" customWidth="1"/>
    <col min="78" max="78" width="12.140625" customWidth="1"/>
  </cols>
  <sheetData>
    <row r="3" spans="25:78">
      <c r="AS3" s="240"/>
      <c r="AT3" s="240"/>
      <c r="AU3" s="240"/>
      <c r="AV3" s="240"/>
      <c r="AW3" s="151"/>
    </row>
    <row r="4" spans="25:78">
      <c r="Y4" s="240"/>
      <c r="Z4" s="240"/>
      <c r="AA4" s="240"/>
      <c r="AB4" s="240"/>
      <c r="AC4" s="151"/>
      <c r="AS4" s="240"/>
      <c r="AT4" s="240"/>
      <c r="AU4" s="240"/>
      <c r="AV4" s="240"/>
      <c r="AW4" s="151"/>
    </row>
    <row r="5" spans="25:78">
      <c r="Y5" s="240"/>
      <c r="Z5" s="240"/>
      <c r="AA5" s="240"/>
      <c r="AB5" s="240"/>
      <c r="AC5" s="151"/>
      <c r="AS5" s="240"/>
      <c r="AT5" s="240"/>
      <c r="AU5" s="240"/>
      <c r="AV5" s="240"/>
      <c r="AW5" s="151"/>
    </row>
    <row r="6" spans="25:78">
      <c r="Y6" s="240"/>
      <c r="Z6" s="240"/>
      <c r="AA6" s="240"/>
      <c r="AB6" s="240"/>
      <c r="AC6" s="151"/>
      <c r="AS6" s="240"/>
      <c r="AT6" s="240"/>
      <c r="AU6" s="240"/>
      <c r="AV6" s="240"/>
      <c r="AW6" s="151"/>
    </row>
    <row r="7" spans="25:78">
      <c r="Y7" s="240"/>
      <c r="Z7" s="240"/>
      <c r="AA7" s="240"/>
      <c r="AB7" s="240"/>
      <c r="AC7" s="151"/>
      <c r="AS7" s="240"/>
      <c r="AT7" s="240"/>
      <c r="AU7" s="240"/>
      <c r="AV7" s="240"/>
      <c r="AW7" s="151"/>
    </row>
    <row r="8" spans="25:78">
      <c r="Y8" s="240"/>
      <c r="Z8" s="240"/>
      <c r="AA8" s="240"/>
      <c r="AB8" s="240"/>
      <c r="AC8" s="151"/>
    </row>
    <row r="9" spans="25:78">
      <c r="Y9" s="240"/>
      <c r="Z9" s="240"/>
      <c r="AA9" s="240"/>
      <c r="AB9" s="240"/>
      <c r="AC9" s="151"/>
      <c r="AT9" s="56"/>
      <c r="AU9" s="93"/>
      <c r="AV9" s="93"/>
      <c r="AW9" s="56"/>
      <c r="AX9" s="56"/>
      <c r="AY9" s="56"/>
      <c r="AZ9" s="56"/>
      <c r="BA9" s="56"/>
    </row>
    <row r="10" spans="25:78">
      <c r="Y10" s="240"/>
      <c r="Z10" s="240"/>
      <c r="AA10" s="240"/>
      <c r="AB10" s="240"/>
      <c r="AC10" s="151"/>
      <c r="AT10" s="56"/>
      <c r="AU10" s="83"/>
      <c r="AV10" s="83"/>
      <c r="AW10" s="240"/>
      <c r="AX10" s="240"/>
      <c r="AY10" s="240"/>
      <c r="AZ10" s="240"/>
      <c r="BA10" s="240"/>
    </row>
    <row r="11" spans="25:78">
      <c r="Y11" s="240"/>
      <c r="Z11" s="240"/>
      <c r="AA11" s="240"/>
      <c r="AB11" s="240"/>
      <c r="AC11" s="151"/>
      <c r="AT11" s="56"/>
      <c r="AU11" s="83"/>
      <c r="AV11" s="83"/>
      <c r="AW11" s="240"/>
      <c r="AX11" s="240"/>
      <c r="AY11" s="240"/>
      <c r="AZ11" s="240"/>
      <c r="BA11" s="56"/>
    </row>
    <row r="12" spans="25:78">
      <c r="Y12" s="240"/>
      <c r="Z12" s="240"/>
      <c r="AA12" s="240"/>
      <c r="AB12" s="240"/>
      <c r="AC12" s="151"/>
      <c r="AT12" s="56"/>
      <c r="AU12" s="83"/>
      <c r="AV12" s="83"/>
      <c r="AW12" s="240"/>
      <c r="AX12" s="240"/>
      <c r="AY12" s="240"/>
      <c r="AZ12" s="240"/>
      <c r="BA12" s="56"/>
    </row>
    <row r="13" spans="25:78">
      <c r="Y13" s="240"/>
      <c r="Z13" s="240"/>
      <c r="AA13" s="240"/>
      <c r="AB13" s="240"/>
      <c r="AC13" s="151"/>
      <c r="AT13" s="56"/>
      <c r="AU13" s="83"/>
      <c r="AV13" s="83"/>
      <c r="AW13" s="240"/>
      <c r="AX13" s="240"/>
      <c r="AY13" s="240"/>
      <c r="AZ13" s="240"/>
      <c r="BA13" s="56"/>
    </row>
    <row r="14" spans="25:78">
      <c r="AT14" s="56"/>
      <c r="AU14" s="83"/>
      <c r="AV14" s="83"/>
      <c r="AW14" s="240"/>
      <c r="AX14" s="240"/>
      <c r="AY14" s="240"/>
      <c r="AZ14" s="240"/>
      <c r="BA14" s="56"/>
    </row>
    <row r="15" spans="25:78">
      <c r="AT15" s="56"/>
      <c r="AU15" s="83"/>
      <c r="AV15" s="83"/>
      <c r="AW15" s="240"/>
      <c r="AX15" s="240"/>
      <c r="AY15" s="240"/>
      <c r="AZ15" s="240"/>
      <c r="BA15" s="56"/>
    </row>
    <row r="16" spans="25:78" ht="15.75" thickBot="1">
      <c r="AT16" s="56"/>
      <c r="AU16" s="83"/>
      <c r="AV16" s="83"/>
      <c r="AW16" s="240"/>
      <c r="AX16" s="240"/>
      <c r="AY16" s="240"/>
      <c r="AZ16" s="240"/>
      <c r="BA16" s="56"/>
      <c r="BQ16" s="302" t="s">
        <v>67</v>
      </c>
      <c r="BR16" s="303" t="s">
        <v>68</v>
      </c>
      <c r="BS16" s="304" t="s">
        <v>69</v>
      </c>
      <c r="BT16" s="305"/>
      <c r="BU16" s="306"/>
      <c r="BV16" s="307" t="s">
        <v>70</v>
      </c>
      <c r="BZ16" s="36"/>
    </row>
    <row r="17" spans="1:87" ht="15.75" thickBot="1">
      <c r="AT17" s="56"/>
      <c r="AU17" s="83"/>
      <c r="AV17" s="83"/>
      <c r="AW17" s="240"/>
      <c r="AX17" s="240"/>
      <c r="AY17" s="240"/>
      <c r="AZ17" s="240"/>
      <c r="BA17" s="56"/>
      <c r="BQ17" s="308" t="s">
        <v>71</v>
      </c>
      <c r="BR17" s="309" t="s">
        <v>72</v>
      </c>
      <c r="BS17" s="309" t="s">
        <v>14</v>
      </c>
      <c r="BT17" s="309" t="s">
        <v>4</v>
      </c>
      <c r="BU17" s="309" t="s">
        <v>73</v>
      </c>
      <c r="BV17" s="309" t="s">
        <v>74</v>
      </c>
      <c r="BW17" s="310" t="s">
        <v>158</v>
      </c>
      <c r="BX17" s="311" t="s">
        <v>159</v>
      </c>
      <c r="BY17" s="321" t="s">
        <v>100</v>
      </c>
      <c r="BZ17" s="322" t="s">
        <v>160</v>
      </c>
      <c r="CI17" s="28" t="s">
        <v>162</v>
      </c>
    </row>
    <row r="18" spans="1:87" ht="15.75" thickBot="1">
      <c r="N18" s="60"/>
      <c r="O18" s="60"/>
      <c r="AT18" s="56"/>
      <c r="AU18" s="83"/>
      <c r="AV18" s="83"/>
      <c r="AW18" s="240"/>
      <c r="AX18" s="240"/>
      <c r="AY18" s="240"/>
      <c r="AZ18" s="240"/>
      <c r="BA18" s="56"/>
      <c r="BQ18" s="312">
        <v>1</v>
      </c>
      <c r="BR18" s="313" t="s">
        <v>76</v>
      </c>
      <c r="BS18" s="314">
        <v>0.75</v>
      </c>
      <c r="BT18" s="314">
        <v>0.25</v>
      </c>
      <c r="BU18" s="314"/>
      <c r="BV18" s="315">
        <v>108.02666666666669</v>
      </c>
      <c r="BW18">
        <v>27.006666666666671</v>
      </c>
      <c r="BX18">
        <v>0.16332043218835673</v>
      </c>
      <c r="BY18" s="316">
        <v>0.65328172875342694</v>
      </c>
      <c r="BZ18" s="319">
        <f t="shared" ref="BZ18:BZ60" si="0">1-BY18</f>
        <v>0.34671827124657306</v>
      </c>
      <c r="CF18" s="16" t="s">
        <v>31</v>
      </c>
      <c r="CG18" s="16" t="s">
        <v>32</v>
      </c>
      <c r="CI18" s="135" t="s">
        <v>161</v>
      </c>
    </row>
    <row r="19" spans="1:87" ht="15.75" thickBot="1">
      <c r="AT19" s="56"/>
      <c r="AU19" s="83"/>
      <c r="AV19" s="83"/>
      <c r="AW19" s="240"/>
      <c r="AX19" s="240"/>
      <c r="AY19" s="240"/>
      <c r="AZ19" s="240"/>
      <c r="BA19" s="56"/>
      <c r="BQ19" s="312">
        <v>2</v>
      </c>
      <c r="BR19" s="313" t="s">
        <v>17</v>
      </c>
      <c r="BS19" s="314">
        <v>1</v>
      </c>
      <c r="BT19" s="314"/>
      <c r="BU19" s="314"/>
      <c r="BV19" s="315">
        <v>100.85333333333335</v>
      </c>
      <c r="BW19">
        <v>25.213333333333338</v>
      </c>
      <c r="BX19">
        <v>0.15247540719238836</v>
      </c>
      <c r="BY19" s="278">
        <v>0.60990162876955345</v>
      </c>
      <c r="BZ19" s="319">
        <f t="shared" si="0"/>
        <v>0.39009837123044655</v>
      </c>
      <c r="CB19" s="323">
        <v>0.48447478528958382</v>
      </c>
      <c r="CC19" s="323">
        <v>0.19951552521471044</v>
      </c>
      <c r="CD19" s="323">
        <v>0.31490861043822949</v>
      </c>
      <c r="CE19" s="216">
        <v>132.02666666666667</v>
      </c>
      <c r="CF19" s="241">
        <v>0.55856166329815216</v>
      </c>
      <c r="CG19" s="241">
        <v>0.26675413378132928</v>
      </c>
      <c r="CH19" s="333">
        <v>0.79841960974036452</v>
      </c>
      <c r="CI19" s="61">
        <f t="shared" ref="CI19:CI32" si="1">1-CH19</f>
        <v>0.20158039025963548</v>
      </c>
    </row>
    <row r="20" spans="1:87" ht="15.75" thickBot="1">
      <c r="AT20" s="56"/>
      <c r="AU20" s="83"/>
      <c r="AV20" s="83"/>
      <c r="AW20" s="240"/>
      <c r="AX20" s="240"/>
      <c r="AY20" s="240"/>
      <c r="AZ20" s="240"/>
      <c r="BA20" s="56"/>
      <c r="BQ20" s="312">
        <v>3</v>
      </c>
      <c r="BR20" s="313" t="s">
        <v>4</v>
      </c>
      <c r="BS20" s="314"/>
      <c r="BT20" s="314">
        <v>1</v>
      </c>
      <c r="BU20" s="314"/>
      <c r="BV20" s="315">
        <v>101.89333333333333</v>
      </c>
      <c r="BW20">
        <v>25.473333333333333</v>
      </c>
      <c r="BX20">
        <v>0.15404773423641349</v>
      </c>
      <c r="BY20" s="278">
        <v>0.61619093694565397</v>
      </c>
      <c r="BZ20" s="319">
        <f t="shared" si="0"/>
        <v>0.38380906305434603</v>
      </c>
      <c r="CB20" s="323">
        <v>0.48479506390480392</v>
      </c>
      <c r="CC20" s="323">
        <v>0.16923754958131337</v>
      </c>
      <c r="CD20" s="323">
        <v>0.34596738651388281</v>
      </c>
      <c r="CE20" s="216">
        <v>133.65333333333334</v>
      </c>
      <c r="CF20" s="241">
        <v>0.57763635880680286</v>
      </c>
      <c r="CG20" s="241">
        <v>0.29085126239152748</v>
      </c>
      <c r="CH20" s="334">
        <v>0.80825673278503474</v>
      </c>
      <c r="CI20" s="331">
        <f t="shared" si="1"/>
        <v>0.19174326721496526</v>
      </c>
    </row>
    <row r="21" spans="1:87" ht="15.75" thickBot="1">
      <c r="AT21" s="56"/>
      <c r="AU21" s="83"/>
      <c r="AV21" s="83"/>
      <c r="AW21" s="240"/>
      <c r="AX21" s="240"/>
      <c r="AY21" s="240"/>
      <c r="AZ21" s="240"/>
      <c r="BA21" s="56"/>
      <c r="BQ21" s="312">
        <v>4</v>
      </c>
      <c r="BR21" s="313" t="s">
        <v>18</v>
      </c>
      <c r="BS21" s="314"/>
      <c r="BT21" s="314"/>
      <c r="BU21" s="314">
        <v>1</v>
      </c>
      <c r="BV21" s="315">
        <v>111.76</v>
      </c>
      <c r="BW21">
        <v>27.94</v>
      </c>
      <c r="BX21">
        <v>0.16896468311562654</v>
      </c>
      <c r="BY21" s="278">
        <v>0.67585873246250616</v>
      </c>
      <c r="BZ21" s="319">
        <f t="shared" si="0"/>
        <v>0.32414126753749384</v>
      </c>
      <c r="CB21" s="324">
        <v>0.45372050816696918</v>
      </c>
      <c r="CC21" s="324">
        <v>0.19918330308529944</v>
      </c>
      <c r="CD21" s="324">
        <v>0.3470961887477314</v>
      </c>
      <c r="CE21" s="219">
        <v>131.49333333333334</v>
      </c>
      <c r="CF21" s="241">
        <v>0.54342120395432714</v>
      </c>
      <c r="CG21" s="241">
        <v>0.29428456752433269</v>
      </c>
      <c r="CH21" s="334">
        <v>0.79519432349621033</v>
      </c>
      <c r="CI21" s="331">
        <f t="shared" si="1"/>
        <v>0.20480567650378967</v>
      </c>
    </row>
    <row r="22" spans="1:87">
      <c r="AT22" s="56"/>
      <c r="AU22" s="83"/>
      <c r="AV22" s="83"/>
      <c r="AW22" s="240"/>
      <c r="AX22" s="240"/>
      <c r="AY22" s="240"/>
      <c r="AZ22" s="240"/>
      <c r="BA22" s="56"/>
      <c r="BQ22" s="312">
        <v>5</v>
      </c>
      <c r="BR22" s="313" t="s">
        <v>76</v>
      </c>
      <c r="BS22" s="314">
        <v>0.73529411764705888</v>
      </c>
      <c r="BT22" s="314">
        <v>0.26470588235294112</v>
      </c>
      <c r="BU22" s="314"/>
      <c r="BV22" s="315">
        <v>107.2</v>
      </c>
      <c r="BW22">
        <v>26.8</v>
      </c>
      <c r="BX22">
        <v>0.162070633768747</v>
      </c>
      <c r="BY22" s="316">
        <v>0.64828253507498801</v>
      </c>
      <c r="BZ22" s="319">
        <f t="shared" si="0"/>
        <v>0.35171746492501199</v>
      </c>
      <c r="CB22" s="325">
        <v>0.45392646391284608</v>
      </c>
      <c r="CC22" s="325">
        <v>0.1693145710394916</v>
      </c>
      <c r="CD22" s="325">
        <v>0.37675896504766226</v>
      </c>
      <c r="CE22" s="225">
        <v>131.09333333333333</v>
      </c>
      <c r="CF22" s="241">
        <v>0.56253188891860884</v>
      </c>
      <c r="CG22" s="241">
        <v>0.31721412851042335</v>
      </c>
      <c r="CH22" s="334">
        <v>0.79277535881309469</v>
      </c>
      <c r="CI22" s="331">
        <f t="shared" si="1"/>
        <v>0.20722464118690531</v>
      </c>
    </row>
    <row r="23" spans="1:87">
      <c r="AT23" s="56"/>
      <c r="AU23" s="83"/>
      <c r="AV23" s="83"/>
      <c r="AW23" s="240"/>
      <c r="AX23" s="240"/>
      <c r="AY23" s="240"/>
      <c r="AZ23" s="240"/>
      <c r="BA23" s="56"/>
      <c r="BQ23" s="312">
        <v>6</v>
      </c>
      <c r="BR23" s="313" t="s">
        <v>76</v>
      </c>
      <c r="BS23" s="314">
        <v>0.65789473684210531</v>
      </c>
      <c r="BT23" s="314">
        <v>0.34210526315789475</v>
      </c>
      <c r="BU23" s="314"/>
      <c r="BV23" s="315">
        <v>106.38666666666667</v>
      </c>
      <c r="BW23">
        <v>26.596666666666668</v>
      </c>
      <c r="BX23">
        <v>0.16084099338816324</v>
      </c>
      <c r="BY23" s="316">
        <v>0.64336397355265296</v>
      </c>
      <c r="BZ23" s="319">
        <f t="shared" si="0"/>
        <v>0.35663602644734704</v>
      </c>
      <c r="CB23" s="323">
        <v>0.42390843577787196</v>
      </c>
      <c r="CC23" s="323">
        <v>0.19923696481559983</v>
      </c>
      <c r="CD23" s="323">
        <v>0.37685459940652821</v>
      </c>
      <c r="CE23" s="216">
        <v>130.16</v>
      </c>
      <c r="CF23" s="241">
        <v>0.52746843688890843</v>
      </c>
      <c r="CG23" s="241">
        <v>0.31976115336472843</v>
      </c>
      <c r="CH23" s="334">
        <v>0.81438477664892772</v>
      </c>
      <c r="CI23" s="331">
        <f t="shared" si="1"/>
        <v>0.18561522335107228</v>
      </c>
    </row>
    <row r="24" spans="1:87">
      <c r="AB24" s="173" t="e">
        <f>#REF!</f>
        <v>#REF!</v>
      </c>
      <c r="AD24" s="89" t="s">
        <v>42</v>
      </c>
      <c r="AE24" s="16" t="s">
        <v>28</v>
      </c>
      <c r="AF24" s="12"/>
      <c r="AH24" s="10" t="s">
        <v>20</v>
      </c>
      <c r="AI24" s="34" t="s">
        <v>33</v>
      </c>
      <c r="AJ24" s="34" t="s">
        <v>34</v>
      </c>
      <c r="AL24" s="227">
        <v>0.61085972850678727</v>
      </c>
      <c r="AM24" s="227">
        <v>0</v>
      </c>
      <c r="AN24" s="227">
        <v>0.38914027149321262</v>
      </c>
      <c r="AP24" s="227">
        <v>133.14666666666668</v>
      </c>
      <c r="AR24" s="141">
        <v>0.34238319373504122</v>
      </c>
      <c r="AT24" s="56"/>
      <c r="AU24" s="249"/>
      <c r="AV24" s="249"/>
      <c r="AW24" s="240"/>
      <c r="AX24" s="240"/>
      <c r="AY24" s="240"/>
      <c r="AZ24" s="240"/>
      <c r="BA24" s="151"/>
      <c r="BQ24" s="312">
        <v>7</v>
      </c>
      <c r="BR24" s="313" t="s">
        <v>76</v>
      </c>
      <c r="BS24" s="314">
        <v>0.80645161290322587</v>
      </c>
      <c r="BT24" s="314">
        <v>0.19354838709677419</v>
      </c>
      <c r="BU24" s="314"/>
      <c r="BV24" s="315">
        <v>105.45333333333333</v>
      </c>
      <c r="BW24">
        <v>26.363333333333333</v>
      </c>
      <c r="BX24">
        <v>0.15942993065634578</v>
      </c>
      <c r="BY24" s="316">
        <v>0.63771972262538312</v>
      </c>
      <c r="BZ24" s="319">
        <f t="shared" si="0"/>
        <v>0.36228027737461688</v>
      </c>
      <c r="CB24" s="323">
        <v>0.4533091568449682</v>
      </c>
      <c r="CC24" s="323">
        <v>0.13871260199456029</v>
      </c>
      <c r="CD24" s="323">
        <v>0.40797824116047138</v>
      </c>
      <c r="CE24" s="216">
        <v>132.48000000000002</v>
      </c>
      <c r="CF24" s="241">
        <v>0.58313792558127309</v>
      </c>
      <c r="CG24" s="241">
        <v>0.34141559127621851</v>
      </c>
      <c r="CH24" s="334">
        <v>0.80116110304789567</v>
      </c>
      <c r="CI24" s="331">
        <f t="shared" si="1"/>
        <v>0.19883889695210433</v>
      </c>
    </row>
    <row r="25" spans="1:87">
      <c r="J25" s="89" t="s">
        <v>42</v>
      </c>
      <c r="K25" s="16" t="s">
        <v>28</v>
      </c>
      <c r="L25" s="12"/>
      <c r="M25" s="10" t="s">
        <v>20</v>
      </c>
      <c r="N25" s="34" t="s">
        <v>33</v>
      </c>
      <c r="O25" s="34" t="s">
        <v>34</v>
      </c>
      <c r="Q25" s="216">
        <v>0.48447478528958382</v>
      </c>
      <c r="R25" s="216">
        <v>0.19951552521471044</v>
      </c>
      <c r="S25" s="216">
        <v>0.31490861043822949</v>
      </c>
      <c r="U25" s="216">
        <v>132.02666666666667</v>
      </c>
      <c r="AD25" s="16" t="s">
        <v>31</v>
      </c>
      <c r="AE25" s="143">
        <v>0.75295277138654582</v>
      </c>
      <c r="AF25" s="12"/>
      <c r="AH25" s="16">
        <v>2</v>
      </c>
      <c r="AI25" s="137">
        <v>470</v>
      </c>
      <c r="AJ25" s="138">
        <v>0</v>
      </c>
      <c r="AT25" s="56"/>
      <c r="AU25" s="249"/>
      <c r="AV25" s="249"/>
      <c r="AW25" s="240"/>
      <c r="AX25" s="240"/>
      <c r="AY25" s="240"/>
      <c r="AZ25" s="240"/>
      <c r="BA25" s="151"/>
      <c r="BQ25" s="312">
        <v>8</v>
      </c>
      <c r="BR25" s="313" t="s">
        <v>76</v>
      </c>
      <c r="BS25" s="314">
        <v>0.87719298245614041</v>
      </c>
      <c r="BT25" s="314">
        <v>0.12280701754385967</v>
      </c>
      <c r="BU25" s="314"/>
      <c r="BV25" s="315">
        <v>104.04</v>
      </c>
      <c r="BW25">
        <v>26.01</v>
      </c>
      <c r="BX25">
        <v>0.15729317851959365</v>
      </c>
      <c r="BY25" s="316">
        <v>0.62917271407837461</v>
      </c>
      <c r="BZ25" s="319">
        <f t="shared" si="0"/>
        <v>0.37082728592162539</v>
      </c>
      <c r="CB25" s="323">
        <v>0.42390843577787196</v>
      </c>
      <c r="CC25" s="323">
        <v>0.16913946587537093</v>
      </c>
      <c r="CD25" s="323">
        <v>0.40695209834675711</v>
      </c>
      <c r="CE25" s="216">
        <v>135.62666666666669</v>
      </c>
      <c r="CF25" s="241">
        <v>0.54680540434311609</v>
      </c>
      <c r="CG25" s="241">
        <v>0.34304397478921717</v>
      </c>
      <c r="CH25" s="334">
        <v>0.82019029188840531</v>
      </c>
      <c r="CI25" s="331">
        <f t="shared" si="1"/>
        <v>0.17980970811159469</v>
      </c>
    </row>
    <row r="26" spans="1:87" ht="15.75" thickBot="1">
      <c r="J26" s="16" t="s">
        <v>31</v>
      </c>
      <c r="K26" s="143">
        <v>0.55856166329815216</v>
      </c>
      <c r="L26" s="12"/>
      <c r="M26" s="16"/>
      <c r="N26" s="137">
        <v>470</v>
      </c>
      <c r="O26" s="138">
        <v>0</v>
      </c>
      <c r="AD26" s="16" t="s">
        <v>32</v>
      </c>
      <c r="AE26" s="143">
        <v>0.31386306587748147</v>
      </c>
      <c r="AF26" s="12"/>
      <c r="AT26" s="56"/>
      <c r="AU26" s="56"/>
      <c r="AV26" s="56"/>
      <c r="AW26" s="56"/>
      <c r="AX26" s="56"/>
      <c r="AY26" s="56"/>
      <c r="AZ26" s="56"/>
      <c r="BA26" s="56"/>
      <c r="BQ26" s="312">
        <v>9</v>
      </c>
      <c r="BR26" s="313" t="s">
        <v>76</v>
      </c>
      <c r="BS26" s="314">
        <v>0.75187969924812026</v>
      </c>
      <c r="BT26" s="314">
        <v>0.24812030075187969</v>
      </c>
      <c r="BU26" s="314"/>
      <c r="BV26" s="315">
        <v>108.66666666666667</v>
      </c>
      <c r="BW26">
        <v>27.166666666666668</v>
      </c>
      <c r="BX26">
        <v>0.16428801806160298</v>
      </c>
      <c r="BY26" s="316">
        <v>0.65715207224641192</v>
      </c>
      <c r="BZ26" s="319">
        <f t="shared" si="0"/>
        <v>0.34284792775358808</v>
      </c>
      <c r="CB26" s="323">
        <v>0.42337002540220159</v>
      </c>
      <c r="CC26" s="323">
        <v>0.1384419983065199</v>
      </c>
      <c r="CD26" s="323">
        <v>0.43818797629127859</v>
      </c>
      <c r="CE26" s="216">
        <v>134.69333333333336</v>
      </c>
      <c r="CF26" s="241">
        <v>0.5677676230218065</v>
      </c>
      <c r="CG26" s="241">
        <v>0.36725178047191565</v>
      </c>
      <c r="CH26" s="334">
        <v>0.81454604096113548</v>
      </c>
      <c r="CI26" s="331">
        <f t="shared" si="1"/>
        <v>0.18545395903886452</v>
      </c>
    </row>
    <row r="27" spans="1:87" ht="15.75" thickBot="1">
      <c r="J27" s="16" t="s">
        <v>32</v>
      </c>
      <c r="K27" s="143">
        <v>0.26675413378132928</v>
      </c>
      <c r="L27" s="12"/>
      <c r="AT27" s="56"/>
      <c r="AY27" s="12" t="s">
        <v>79</v>
      </c>
      <c r="AZ27" t="s">
        <v>80</v>
      </c>
      <c r="BA27" s="16" t="s">
        <v>31</v>
      </c>
      <c r="BB27" s="16" t="s">
        <v>32</v>
      </c>
      <c r="BC27" s="58" t="s">
        <v>81</v>
      </c>
      <c r="BQ27" s="312">
        <v>10</v>
      </c>
      <c r="BR27" s="313" t="s">
        <v>76</v>
      </c>
      <c r="BS27" s="314">
        <v>0.7246376811594204</v>
      </c>
      <c r="BT27" s="314">
        <v>0.27536231884057971</v>
      </c>
      <c r="BU27" s="314"/>
      <c r="BV27" s="315">
        <v>109.06666666666668</v>
      </c>
      <c r="BW27">
        <v>27.266666666666669</v>
      </c>
      <c r="BX27">
        <v>0.16489275923238192</v>
      </c>
      <c r="BY27" s="316">
        <v>0.65957103692952768</v>
      </c>
      <c r="BZ27" s="319">
        <f t="shared" si="0"/>
        <v>0.34042896307047232</v>
      </c>
      <c r="CB27" s="326">
        <v>0.48447478528958382</v>
      </c>
      <c r="CC27" s="326">
        <v>0.13895617705351243</v>
      </c>
      <c r="CD27" s="326">
        <v>0.3765690376569038</v>
      </c>
      <c r="CE27" s="222">
        <v>136.08000000000001</v>
      </c>
      <c r="CF27" s="241">
        <v>0.5978902457411267</v>
      </c>
      <c r="CG27" s="241">
        <v>0.3145504720942503</v>
      </c>
      <c r="CH27" s="334">
        <v>0.82293178519593624</v>
      </c>
      <c r="CI27" s="331">
        <f t="shared" si="1"/>
        <v>0.17706821480406376</v>
      </c>
    </row>
    <row r="28" spans="1:87">
      <c r="AT28" s="248">
        <v>134.66666666666669</v>
      </c>
      <c r="AU28" s="216">
        <v>0.42390843577787196</v>
      </c>
      <c r="AV28" s="216">
        <v>0.19923696481559983</v>
      </c>
      <c r="AW28" s="216">
        <v>0.37685459940652821</v>
      </c>
      <c r="AX28" s="216">
        <v>130.16</v>
      </c>
      <c r="AY28" s="140">
        <v>0.34720003867538729</v>
      </c>
      <c r="AZ28" s="243">
        <f t="shared" ref="AZ28:AZ41" si="2">1-AY28</f>
        <v>0.65279996132461271</v>
      </c>
      <c r="BA28" s="241">
        <v>0.52746843688890843</v>
      </c>
      <c r="BB28" s="241">
        <v>0.31976115336472843</v>
      </c>
      <c r="BC28" s="246">
        <f t="shared" ref="BC28:BC36" si="3">BA28*AZ28</f>
        <v>0.34433137520103335</v>
      </c>
      <c r="BQ28" s="312">
        <v>11</v>
      </c>
      <c r="BR28" s="313" t="s">
        <v>76</v>
      </c>
      <c r="BS28" s="314">
        <v>0.69930069930069938</v>
      </c>
      <c r="BT28" s="314">
        <v>0.30069930069930073</v>
      </c>
      <c r="BU28" s="314"/>
      <c r="BV28" s="315">
        <v>108.96</v>
      </c>
      <c r="BW28">
        <v>27.24</v>
      </c>
      <c r="BX28">
        <v>0.16473149492017417</v>
      </c>
      <c r="BY28" s="316">
        <v>0.65892597968069666</v>
      </c>
      <c r="BZ28" s="319">
        <f t="shared" si="0"/>
        <v>0.34107402031930334</v>
      </c>
      <c r="CB28" s="327">
        <v>0.61085972850678727</v>
      </c>
      <c r="CC28" s="327">
        <v>0</v>
      </c>
      <c r="CD28" s="327">
        <v>0.38914027149321262</v>
      </c>
      <c r="CE28" s="227">
        <v>133.14666666666668</v>
      </c>
      <c r="CF28" s="242">
        <v>0.75295277138654582</v>
      </c>
      <c r="CG28" s="242">
        <v>0.31386306587748147</v>
      </c>
      <c r="CH28" s="334">
        <v>0.80164489598451849</v>
      </c>
      <c r="CI28" s="331">
        <f t="shared" si="1"/>
        <v>0.19835510401548151</v>
      </c>
    </row>
    <row r="29" spans="1:87" ht="15.75" thickBot="1">
      <c r="AT29" s="174"/>
      <c r="AU29" s="216">
        <v>0.45372050816696918</v>
      </c>
      <c r="AV29" s="216">
        <v>0.19918330308529944</v>
      </c>
      <c r="AW29" s="216">
        <v>0.3470961887477314</v>
      </c>
      <c r="AX29" s="216">
        <v>131.49333333333334</v>
      </c>
      <c r="AY29" s="140">
        <v>0.32189526844113597</v>
      </c>
      <c r="AZ29" s="243">
        <f t="shared" si="2"/>
        <v>0.67810473155886397</v>
      </c>
      <c r="BA29" s="241">
        <v>0.54342120395432714</v>
      </c>
      <c r="BB29" s="241">
        <v>0.29428456752433269</v>
      </c>
      <c r="BC29" s="246">
        <f t="shared" si="3"/>
        <v>0.36849648963084369</v>
      </c>
      <c r="BQ29" s="312">
        <v>12</v>
      </c>
      <c r="BR29" s="313" t="s">
        <v>76</v>
      </c>
      <c r="BS29" s="314">
        <v>0.67567567567567566</v>
      </c>
      <c r="BT29" s="314">
        <v>0.32432432432432434</v>
      </c>
      <c r="BU29" s="314"/>
      <c r="BV29" s="315">
        <v>110.45333333333333</v>
      </c>
      <c r="BW29">
        <v>27.613333333333333</v>
      </c>
      <c r="BX29">
        <v>0.16698919529108208</v>
      </c>
      <c r="BY29" s="316">
        <v>0.66795678116432833</v>
      </c>
      <c r="BZ29" s="319">
        <f t="shared" si="0"/>
        <v>0.33204321883567167</v>
      </c>
      <c r="CB29" s="328">
        <v>0.59734513274336276</v>
      </c>
      <c r="CC29" s="328">
        <v>0</v>
      </c>
      <c r="CD29" s="328">
        <v>0.40265486725663713</v>
      </c>
      <c r="CE29" s="230">
        <v>133.81333333333333</v>
      </c>
      <c r="CF29" s="242">
        <v>0.74938810217856811</v>
      </c>
      <c r="CG29" s="242">
        <v>0.32543108998437797</v>
      </c>
      <c r="CH29" s="334">
        <v>0.80922431865828093</v>
      </c>
      <c r="CI29" s="331">
        <f t="shared" si="1"/>
        <v>0.19077568134171907</v>
      </c>
    </row>
    <row r="30" spans="1:87" ht="15.75" thickBot="1">
      <c r="AT30" s="56"/>
      <c r="AU30" s="219">
        <v>0.42390843577787196</v>
      </c>
      <c r="AV30" s="219">
        <v>0.16913946587537093</v>
      </c>
      <c r="AW30" s="219">
        <v>0.40695209834675711</v>
      </c>
      <c r="AX30" s="219">
        <v>135.62666666666669</v>
      </c>
      <c r="AY30" s="140">
        <v>0.37048319634007487</v>
      </c>
      <c r="AZ30" s="243">
        <f t="shared" si="2"/>
        <v>0.62951680365992513</v>
      </c>
      <c r="BA30" s="241">
        <v>0.54680540434311609</v>
      </c>
      <c r="BB30" s="241">
        <v>0.34304397478921717</v>
      </c>
      <c r="BC30" s="246">
        <f t="shared" si="3"/>
        <v>0.34422319036605137</v>
      </c>
      <c r="BD30" s="56"/>
      <c r="BE30" s="56"/>
      <c r="BF30" s="56"/>
      <c r="BG30" s="56"/>
      <c r="BH30" s="56"/>
      <c r="BI30" s="56"/>
      <c r="BJ30" s="56"/>
      <c r="BK30" s="56"/>
      <c r="BQ30" s="312">
        <v>13</v>
      </c>
      <c r="BR30" s="313" t="s">
        <v>76</v>
      </c>
      <c r="BS30" s="314">
        <v>0.65359477124183007</v>
      </c>
      <c r="BT30" s="314">
        <v>0.34640522875816993</v>
      </c>
      <c r="BU30" s="314"/>
      <c r="BV30" s="315">
        <v>110.53333333333335</v>
      </c>
      <c r="BW30">
        <v>27.633333333333336</v>
      </c>
      <c r="BX30">
        <v>0.16711014352523787</v>
      </c>
      <c r="BY30" s="316">
        <v>0.66844057410095148</v>
      </c>
      <c r="BZ30" s="319">
        <f t="shared" si="0"/>
        <v>0.33155942589904852</v>
      </c>
      <c r="CB30" s="329">
        <v>0.5818965517241379</v>
      </c>
      <c r="CC30" s="329">
        <v>0</v>
      </c>
      <c r="CD30" s="329">
        <v>0.41810344827586204</v>
      </c>
      <c r="CE30" s="234">
        <v>136.66666666666666</v>
      </c>
      <c r="CF30" s="242">
        <v>0.74515480021471081</v>
      </c>
      <c r="CG30" s="242">
        <v>0.33865453823070957</v>
      </c>
      <c r="CH30" s="334">
        <v>0.82647960006450572</v>
      </c>
      <c r="CI30" s="331">
        <f t="shared" si="1"/>
        <v>0.17352039993549428</v>
      </c>
    </row>
    <row r="31" spans="1:87">
      <c r="E31" t="s">
        <v>79</v>
      </c>
      <c r="F31" t="s">
        <v>80</v>
      </c>
      <c r="G31" s="16" t="s">
        <v>31</v>
      </c>
      <c r="H31" s="16" t="s">
        <v>32</v>
      </c>
      <c r="I31" s="36" t="s">
        <v>81</v>
      </c>
      <c r="AT31" s="56"/>
      <c r="AU31" s="225">
        <v>0.48447478528958382</v>
      </c>
      <c r="AV31" s="225">
        <v>0.19951552521471044</v>
      </c>
      <c r="AW31" s="225">
        <v>0.31490861043822949</v>
      </c>
      <c r="AX31" s="225">
        <v>132.02666666666667</v>
      </c>
      <c r="AY31" s="140">
        <v>0.29454643422405358</v>
      </c>
      <c r="AZ31" s="243">
        <f t="shared" si="2"/>
        <v>0.70545356577594642</v>
      </c>
      <c r="BA31" s="241">
        <v>0.55856166329815216</v>
      </c>
      <c r="BB31" s="241">
        <v>0.26675413378132928</v>
      </c>
      <c r="BC31" s="246">
        <f t="shared" si="3"/>
        <v>0.39403931707942502</v>
      </c>
      <c r="BD31" s="56"/>
      <c r="BE31" s="56"/>
      <c r="BF31" s="56"/>
      <c r="BG31" s="56"/>
      <c r="BH31" s="56"/>
      <c r="BI31" s="56"/>
      <c r="BJ31" s="56"/>
      <c r="BK31" s="56"/>
      <c r="BQ31" s="312">
        <v>14</v>
      </c>
      <c r="BR31" s="313" t="s">
        <v>76</v>
      </c>
      <c r="BS31" s="314">
        <v>0.75187969924812026</v>
      </c>
      <c r="BT31" s="314">
        <v>0.24812030075187969</v>
      </c>
      <c r="BU31" s="314"/>
      <c r="BV31" s="315">
        <v>108.58666666666666</v>
      </c>
      <c r="BW31">
        <v>27.146666666666665</v>
      </c>
      <c r="BX31">
        <v>0.16416706982744719</v>
      </c>
      <c r="BY31" s="316">
        <v>0.65666827930978877</v>
      </c>
      <c r="BZ31" s="319">
        <f t="shared" si="0"/>
        <v>0.34333172069021123</v>
      </c>
      <c r="CB31" s="330">
        <v>0.56657223796033995</v>
      </c>
      <c r="CC31" s="330">
        <v>0</v>
      </c>
      <c r="CD31" s="330">
        <v>0.43342776203966005</v>
      </c>
      <c r="CE31" s="237">
        <v>135.22666666666669</v>
      </c>
      <c r="CF31" s="242">
        <v>0.74077833774877022</v>
      </c>
      <c r="CG31" s="242">
        <v>0.35177161802683821</v>
      </c>
      <c r="CH31" s="334">
        <v>0.81777132720528967</v>
      </c>
      <c r="CI31" s="331">
        <f t="shared" si="1"/>
        <v>0.18222867279471033</v>
      </c>
    </row>
    <row r="32" spans="1:87">
      <c r="A32" s="216">
        <v>0.48447478528958382</v>
      </c>
      <c r="B32" s="216">
        <v>0.19951552521471044</v>
      </c>
      <c r="C32" s="216">
        <v>0.31490861043822949</v>
      </c>
      <c r="D32" s="216">
        <v>132.02666666666667</v>
      </c>
      <c r="E32" s="263">
        <v>0.29175413378132931</v>
      </c>
      <c r="F32" s="259">
        <f>1-E32</f>
        <v>0.70824586621867069</v>
      </c>
      <c r="G32" s="241">
        <v>0.55856166329815216</v>
      </c>
      <c r="H32" s="241">
        <v>0.26675413378132928</v>
      </c>
      <c r="I32" s="263">
        <v>0.39342187163083964</v>
      </c>
      <c r="AT32" s="253"/>
      <c r="AU32" s="216">
        <v>0.45392646391284608</v>
      </c>
      <c r="AV32" s="216">
        <v>0.1693145710394916</v>
      </c>
      <c r="AW32" s="216">
        <v>0.37675896504766226</v>
      </c>
      <c r="AX32" s="216">
        <v>131.09333333333333</v>
      </c>
      <c r="AY32" s="140">
        <v>0.34482637033034785</v>
      </c>
      <c r="AZ32" s="243">
        <f t="shared" si="2"/>
        <v>0.6551736296696522</v>
      </c>
      <c r="BA32" s="241">
        <v>0.56253188891860884</v>
      </c>
      <c r="BB32" s="241">
        <v>0.31721412851042335</v>
      </c>
      <c r="BC32" s="246">
        <f t="shared" si="3"/>
        <v>0.36855605946773057</v>
      </c>
      <c r="BD32" s="56"/>
      <c r="BE32" s="56"/>
      <c r="BF32" s="56"/>
      <c r="BG32" s="56"/>
      <c r="BH32" s="56"/>
      <c r="BI32" s="56"/>
      <c r="BJ32" s="56"/>
      <c r="BK32" s="56"/>
      <c r="BQ32" s="312">
        <v>15</v>
      </c>
      <c r="BR32" s="313" t="s">
        <v>76</v>
      </c>
      <c r="BS32" s="314">
        <v>0.7246376811594204</v>
      </c>
      <c r="BT32" s="314">
        <v>0.27536231884057971</v>
      </c>
      <c r="BU32" s="314"/>
      <c r="BV32" s="315">
        <v>112.05333333333334</v>
      </c>
      <c r="BW32">
        <v>28.013333333333335</v>
      </c>
      <c r="BX32">
        <v>0.16940815997419773</v>
      </c>
      <c r="BY32" s="316">
        <v>0.6776326398967909</v>
      </c>
      <c r="BZ32" s="319">
        <f t="shared" si="0"/>
        <v>0.3223673601032091</v>
      </c>
      <c r="CB32" s="327">
        <v>0.5524861878453039</v>
      </c>
      <c r="CC32" s="327">
        <v>0</v>
      </c>
      <c r="CD32" s="327">
        <v>0.44751381215469616</v>
      </c>
      <c r="CE32" s="227">
        <v>135.76000000000002</v>
      </c>
      <c r="CF32" s="242">
        <v>0.73659006348867362</v>
      </c>
      <c r="CG32" s="242">
        <v>0.36382878719076445</v>
      </c>
      <c r="CH32" s="335">
        <v>0.82099661344944386</v>
      </c>
      <c r="CI32" s="332">
        <f t="shared" si="1"/>
        <v>0.17900338655055614</v>
      </c>
    </row>
    <row r="33" spans="1:86">
      <c r="A33" s="216">
        <v>0.48479506390480392</v>
      </c>
      <c r="B33" s="216">
        <v>0.16923754958131337</v>
      </c>
      <c r="C33" s="216">
        <v>0.34596738651388281</v>
      </c>
      <c r="D33" s="216">
        <v>133.65333333333334</v>
      </c>
      <c r="E33" s="140">
        <v>0.3158512623915275</v>
      </c>
      <c r="F33" s="260">
        <f t="shared" ref="F33:F45" si="4">1-E33</f>
        <v>0.6841487376084725</v>
      </c>
      <c r="G33" s="241">
        <v>0.57763635880680286</v>
      </c>
      <c r="H33" s="241">
        <v>0.29085126239152748</v>
      </c>
      <c r="I33" s="140">
        <v>0.39357267576256394</v>
      </c>
      <c r="AU33" s="216">
        <v>0.42337002540220159</v>
      </c>
      <c r="AV33" s="216">
        <v>0.1384419983065199</v>
      </c>
      <c r="AW33" s="216">
        <v>0.43818797629127859</v>
      </c>
      <c r="AX33" s="216">
        <v>134.69333333333336</v>
      </c>
      <c r="AY33" s="140">
        <v>0.39468826798077178</v>
      </c>
      <c r="AZ33" s="243">
        <f t="shared" si="2"/>
        <v>0.60531173201922828</v>
      </c>
      <c r="BA33" s="241">
        <v>0.5677676230218065</v>
      </c>
      <c r="BB33" s="241">
        <v>0.36725178047191565</v>
      </c>
      <c r="BC33" s="246">
        <f t="shared" si="3"/>
        <v>0.34367640327576998</v>
      </c>
      <c r="BD33" s="56"/>
      <c r="BE33" s="56"/>
      <c r="BF33" s="56"/>
      <c r="BG33" s="56"/>
      <c r="BH33" s="56"/>
      <c r="BI33" s="56"/>
      <c r="BJ33" s="56"/>
      <c r="BK33" s="56"/>
      <c r="BQ33" s="312">
        <v>16</v>
      </c>
      <c r="BR33" s="313" t="s">
        <v>76</v>
      </c>
      <c r="BS33" s="314">
        <v>0.69930069930069938</v>
      </c>
      <c r="BT33" s="314">
        <v>0.30069930069930073</v>
      </c>
      <c r="BU33" s="314"/>
      <c r="BV33" s="315">
        <v>110.69333333333334</v>
      </c>
      <c r="BW33">
        <v>27.673333333333336</v>
      </c>
      <c r="BX33">
        <v>0.16735203999354945</v>
      </c>
      <c r="BY33" s="316">
        <v>0.66940815997419778</v>
      </c>
      <c r="BZ33" s="319">
        <f t="shared" si="0"/>
        <v>0.33059184002580222</v>
      </c>
    </row>
    <row r="34" spans="1:86">
      <c r="A34" s="219">
        <v>0.45372050816696918</v>
      </c>
      <c r="B34" s="219">
        <v>0.19918330308529944</v>
      </c>
      <c r="C34" s="219">
        <v>0.3470961887477314</v>
      </c>
      <c r="D34" s="219">
        <v>131.49333333333334</v>
      </c>
      <c r="E34" s="140">
        <v>0.32189526844113597</v>
      </c>
      <c r="F34" s="260">
        <f t="shared" si="4"/>
        <v>0.67810473155886397</v>
      </c>
      <c r="G34" s="241">
        <v>0.54342120395432714</v>
      </c>
      <c r="H34" s="241">
        <v>0.29428456752433269</v>
      </c>
      <c r="I34" s="140">
        <f t="shared" ref="I34:I40" si="5">G34*F34</f>
        <v>0.36849648963084369</v>
      </c>
      <c r="AT34" s="174"/>
      <c r="AU34" s="216">
        <v>0.48479506390480392</v>
      </c>
      <c r="AV34" s="216">
        <v>0.16923754958131337</v>
      </c>
      <c r="AW34" s="216">
        <v>0.34596738651388281</v>
      </c>
      <c r="AX34" s="216">
        <v>133.65333333333334</v>
      </c>
      <c r="AY34" s="140">
        <v>0.31864144623286517</v>
      </c>
      <c r="AZ34" s="243">
        <f t="shared" si="2"/>
        <v>0.68135855376713483</v>
      </c>
      <c r="BA34" s="241">
        <v>0.57763635880680286</v>
      </c>
      <c r="BB34" s="241">
        <v>0.29085126239152748</v>
      </c>
      <c r="BC34" s="246">
        <f t="shared" si="3"/>
        <v>0.393577474039917</v>
      </c>
      <c r="BD34" s="56"/>
      <c r="BE34" s="56"/>
      <c r="BF34" s="56"/>
      <c r="BG34" s="56"/>
      <c r="BH34" s="56"/>
      <c r="BI34" s="56"/>
      <c r="BJ34" s="56"/>
      <c r="BK34" s="56"/>
      <c r="BQ34" s="312">
        <v>17</v>
      </c>
      <c r="BR34" s="313" t="s">
        <v>76</v>
      </c>
      <c r="BS34" s="314">
        <v>0.67567567567567566</v>
      </c>
      <c r="BT34" s="314">
        <v>0.32432432432432434</v>
      </c>
      <c r="BU34" s="314"/>
      <c r="BV34" s="315">
        <v>112.08</v>
      </c>
      <c r="BW34">
        <v>28.02</v>
      </c>
      <c r="BX34">
        <v>0.16944847605224964</v>
      </c>
      <c r="BY34" s="316">
        <v>0.67779390420899854</v>
      </c>
      <c r="BZ34" s="319">
        <f t="shared" si="0"/>
        <v>0.32220609579100146</v>
      </c>
      <c r="CE34" s="56"/>
      <c r="CF34" s="56"/>
      <c r="CG34" s="56"/>
      <c r="CH34" s="56"/>
    </row>
    <row r="35" spans="1:86" ht="15.75" thickBot="1">
      <c r="A35" s="225">
        <v>0.45392646391284608</v>
      </c>
      <c r="B35" s="225">
        <v>0.1693145710394916</v>
      </c>
      <c r="C35" s="225">
        <v>0.37675896504766226</v>
      </c>
      <c r="D35" s="225">
        <v>131.09333333333333</v>
      </c>
      <c r="E35" s="140">
        <v>0.34482637033034785</v>
      </c>
      <c r="F35" s="260">
        <f t="shared" si="4"/>
        <v>0.6551736296696522</v>
      </c>
      <c r="G35" s="241">
        <v>0.56253188891860884</v>
      </c>
      <c r="H35" s="241">
        <v>0.31721412851042335</v>
      </c>
      <c r="I35" s="140">
        <f t="shared" si="5"/>
        <v>0.36855605946773057</v>
      </c>
      <c r="AT35" s="174"/>
      <c r="AU35" s="216">
        <v>0.4533091568449682</v>
      </c>
      <c r="AV35" s="216">
        <v>0.13871260199456029</v>
      </c>
      <c r="AW35" s="216">
        <v>0.40797824116047138</v>
      </c>
      <c r="AX35" s="216">
        <v>132.48000000000002</v>
      </c>
      <c r="AY35" s="140">
        <v>0.36902466379497156</v>
      </c>
      <c r="AZ35" s="243">
        <f t="shared" si="2"/>
        <v>0.63097533620502844</v>
      </c>
      <c r="BA35" s="241">
        <v>0.58313792558127309</v>
      </c>
      <c r="BB35" s="241">
        <v>0.34141559127621851</v>
      </c>
      <c r="BC35" s="246">
        <f t="shared" si="3"/>
        <v>0.36794564864754664</v>
      </c>
      <c r="BD35" s="56"/>
      <c r="BE35" s="56"/>
      <c r="BF35" s="56"/>
      <c r="BG35" s="56"/>
      <c r="BH35" s="56"/>
      <c r="BI35" s="56"/>
      <c r="BJ35" s="56"/>
      <c r="BK35" s="56"/>
      <c r="BQ35" s="312">
        <v>18</v>
      </c>
      <c r="BR35" s="313" t="s">
        <v>76</v>
      </c>
      <c r="BS35" s="314">
        <v>0.65359477124183007</v>
      </c>
      <c r="BT35" s="314">
        <v>0.34640522875816993</v>
      </c>
      <c r="BU35" s="314"/>
      <c r="BV35" s="315">
        <v>111.44000000000001</v>
      </c>
      <c r="BW35">
        <v>27.860000000000003</v>
      </c>
      <c r="BX35">
        <v>0.16848089017900342</v>
      </c>
      <c r="BY35" s="316">
        <v>0.67392356071601367</v>
      </c>
      <c r="BZ35" s="319">
        <f t="shared" si="0"/>
        <v>0.32607643928398633</v>
      </c>
      <c r="CA35" s="93"/>
      <c r="CB35" s="93"/>
      <c r="CC35" s="93"/>
      <c r="CE35" s="83"/>
      <c r="CF35" s="174"/>
      <c r="CG35" s="56"/>
      <c r="CH35" s="56"/>
    </row>
    <row r="36" spans="1:86" ht="15.75" thickBot="1">
      <c r="A36" s="216">
        <v>0.42390843577787196</v>
      </c>
      <c r="B36" s="216">
        <v>0.19923696481559983</v>
      </c>
      <c r="C36" s="216">
        <v>0.37685459940652821</v>
      </c>
      <c r="D36" s="216">
        <v>130.16</v>
      </c>
      <c r="E36" s="140">
        <v>0.34720003867538729</v>
      </c>
      <c r="F36" s="260">
        <f t="shared" si="4"/>
        <v>0.65279996132461271</v>
      </c>
      <c r="G36" s="241">
        <v>0.52746843688890843</v>
      </c>
      <c r="H36" s="241">
        <v>0.31976115336472843</v>
      </c>
      <c r="I36" s="140">
        <f t="shared" si="5"/>
        <v>0.34433137520103335</v>
      </c>
      <c r="AU36" s="222">
        <v>0.48447478528958382</v>
      </c>
      <c r="AV36" s="222">
        <v>0.13895617705351243</v>
      </c>
      <c r="AW36" s="222">
        <v>0.3765690376569038</v>
      </c>
      <c r="AX36" s="222">
        <v>136.08000000000001</v>
      </c>
      <c r="AY36" s="140">
        <v>0.34233921511046433</v>
      </c>
      <c r="AZ36" s="243">
        <f t="shared" si="2"/>
        <v>0.65766078488953572</v>
      </c>
      <c r="BA36" s="241">
        <v>0.5978902457411267</v>
      </c>
      <c r="BB36" s="241">
        <v>0.3145504720942503</v>
      </c>
      <c r="BC36" s="246">
        <f t="shared" si="3"/>
        <v>0.39320896829190677</v>
      </c>
      <c r="BD36" s="56"/>
      <c r="BE36" s="56"/>
      <c r="BF36" s="56"/>
      <c r="BG36" s="56"/>
      <c r="BH36" s="93"/>
      <c r="BI36" s="93"/>
      <c r="BJ36" s="93"/>
      <c r="BK36" s="56"/>
      <c r="BQ36" s="312">
        <v>19</v>
      </c>
      <c r="BR36" s="313" t="s">
        <v>17</v>
      </c>
      <c r="BS36" s="314">
        <v>1</v>
      </c>
      <c r="BT36" s="314"/>
      <c r="BU36" s="314"/>
      <c r="BV36" s="315">
        <v>105.04</v>
      </c>
      <c r="BW36">
        <v>26.26</v>
      </c>
      <c r="BX36">
        <v>0.1588050314465409</v>
      </c>
      <c r="BY36" s="316">
        <v>0.6352201257861636</v>
      </c>
      <c r="BZ36" s="319">
        <f t="shared" si="0"/>
        <v>0.3647798742138364</v>
      </c>
      <c r="CA36" s="83"/>
      <c r="CB36" s="83"/>
      <c r="CC36" s="83"/>
      <c r="CE36" s="83"/>
      <c r="CF36" s="174"/>
      <c r="CG36" s="93"/>
      <c r="CH36" s="56"/>
    </row>
    <row r="37" spans="1:86">
      <c r="A37" s="216">
        <v>0.4533091568449682</v>
      </c>
      <c r="B37" s="216">
        <v>0.13871260199456029</v>
      </c>
      <c r="C37" s="216">
        <v>0.40797824116047138</v>
      </c>
      <c r="D37" s="216">
        <v>132.48000000000002</v>
      </c>
      <c r="E37" s="140">
        <v>0.36902466379497156</v>
      </c>
      <c r="F37" s="260">
        <f t="shared" si="4"/>
        <v>0.63097533620502844</v>
      </c>
      <c r="G37" s="241">
        <v>0.58313792558127309</v>
      </c>
      <c r="H37" s="241">
        <v>0.34141559127621851</v>
      </c>
      <c r="I37" s="140">
        <f t="shared" si="5"/>
        <v>0.36794564864754664</v>
      </c>
      <c r="AU37" s="227">
        <v>0.5524861878453039</v>
      </c>
      <c r="AV37" s="227">
        <v>0</v>
      </c>
      <c r="AW37" s="227">
        <v>0.44751381215469616</v>
      </c>
      <c r="AX37" s="227">
        <v>135.76000000000002</v>
      </c>
      <c r="AY37" s="244">
        <v>0.39201216204690681</v>
      </c>
      <c r="AZ37" s="245">
        <f t="shared" si="2"/>
        <v>0.60798783795309319</v>
      </c>
      <c r="BA37" s="242">
        <v>0.73659006348867362</v>
      </c>
      <c r="BB37" s="242">
        <v>0.36382878719076445</v>
      </c>
      <c r="BC37" s="250">
        <v>0.45018264244560424</v>
      </c>
      <c r="BD37" s="240"/>
      <c r="BE37" s="240"/>
      <c r="BF37" s="83"/>
      <c r="BG37" s="174"/>
      <c r="BH37" s="83"/>
      <c r="BI37" s="83"/>
      <c r="BJ37" s="83"/>
      <c r="BK37" s="56"/>
      <c r="BQ37" s="312">
        <v>20</v>
      </c>
      <c r="BR37" s="313" t="s">
        <v>76</v>
      </c>
      <c r="BS37" s="317">
        <v>0.86</v>
      </c>
      <c r="BT37" s="318">
        <v>0.14000000000000001</v>
      </c>
      <c r="BU37" s="314"/>
      <c r="BV37" s="315">
        <v>106.61333333333334</v>
      </c>
      <c r="BW37">
        <v>26.653333333333336</v>
      </c>
      <c r="BX37">
        <v>0.16118368005160461</v>
      </c>
      <c r="BY37" s="316">
        <v>0.64473472020641842</v>
      </c>
      <c r="BZ37" s="319">
        <f t="shared" si="0"/>
        <v>0.35526527979358158</v>
      </c>
      <c r="CA37" s="83"/>
      <c r="CB37" s="83"/>
      <c r="CC37" s="83"/>
      <c r="CE37" s="83"/>
      <c r="CF37" s="174"/>
      <c r="CG37" s="83"/>
      <c r="CH37" s="56"/>
    </row>
    <row r="38" spans="1:86" ht="15.75" thickBot="1">
      <c r="A38" s="216">
        <v>0.42390843577787196</v>
      </c>
      <c r="B38" s="216">
        <v>0.16913946587537093</v>
      </c>
      <c r="C38" s="216">
        <v>0.40695209834675711</v>
      </c>
      <c r="D38" s="216">
        <v>135.62666666666669</v>
      </c>
      <c r="E38" s="140">
        <v>0.37048319634007487</v>
      </c>
      <c r="F38" s="260">
        <f t="shared" si="4"/>
        <v>0.62951680365992513</v>
      </c>
      <c r="G38" s="241">
        <v>0.54680540434311609</v>
      </c>
      <c r="H38" s="241">
        <v>0.34304397478921717</v>
      </c>
      <c r="I38" s="140">
        <f t="shared" si="5"/>
        <v>0.34422319036605137</v>
      </c>
      <c r="AU38" s="230">
        <v>0.56657223796033995</v>
      </c>
      <c r="AV38" s="230">
        <v>0</v>
      </c>
      <c r="AW38" s="230">
        <v>0.43342776203966005</v>
      </c>
      <c r="AX38" s="230">
        <v>135.22666666666669</v>
      </c>
      <c r="AY38" s="244">
        <v>0.38003625275209435</v>
      </c>
      <c r="AZ38" s="245">
        <f t="shared" si="2"/>
        <v>0.61996374724790559</v>
      </c>
      <c r="BA38" s="242">
        <v>0.74077833774877022</v>
      </c>
      <c r="BB38" s="242">
        <v>0.35177161802683821</v>
      </c>
      <c r="BC38" s="244">
        <v>0.46167408483593442</v>
      </c>
      <c r="BD38" s="240"/>
      <c r="BE38" s="240"/>
      <c r="BF38" s="83"/>
      <c r="BG38" s="174"/>
      <c r="BH38" s="83"/>
      <c r="BI38" s="83"/>
      <c r="BJ38" s="83"/>
      <c r="BK38" s="56"/>
      <c r="BQ38" s="312">
        <v>21</v>
      </c>
      <c r="BR38" s="313" t="s">
        <v>76</v>
      </c>
      <c r="BS38" s="314">
        <v>0.76</v>
      </c>
      <c r="BT38" s="314">
        <v>0.24</v>
      </c>
      <c r="BU38" s="314"/>
      <c r="BV38" s="315">
        <v>108</v>
      </c>
      <c r="BW38">
        <v>27</v>
      </c>
      <c r="BX38">
        <v>0.1632801161103048</v>
      </c>
      <c r="BY38" s="316">
        <v>0.65312046444121918</v>
      </c>
      <c r="BZ38" s="319">
        <f t="shared" si="0"/>
        <v>0.34687953555878082</v>
      </c>
      <c r="CA38" s="83"/>
      <c r="CB38" s="83"/>
      <c r="CC38" s="83"/>
      <c r="CE38" s="83"/>
      <c r="CF38" s="174"/>
      <c r="CG38" s="83"/>
      <c r="CH38" s="56"/>
    </row>
    <row r="39" spans="1:86" ht="15.75" thickBot="1">
      <c r="A39" s="216">
        <v>0.42337002540220159</v>
      </c>
      <c r="B39" s="216">
        <v>0.1384419983065199</v>
      </c>
      <c r="C39" s="216">
        <v>0.43818797629127859</v>
      </c>
      <c r="D39" s="216">
        <v>134.69333333333336</v>
      </c>
      <c r="E39" s="140">
        <v>0.39468826798077178</v>
      </c>
      <c r="F39" s="260">
        <f t="shared" si="4"/>
        <v>0.60531173201922828</v>
      </c>
      <c r="G39" s="241">
        <v>0.5677676230218065</v>
      </c>
      <c r="H39" s="241">
        <v>0.36725178047191565</v>
      </c>
      <c r="I39" s="140">
        <f t="shared" si="5"/>
        <v>0.34367640327576998</v>
      </c>
      <c r="AU39" s="234">
        <v>0.5818965517241379</v>
      </c>
      <c r="AV39" s="234">
        <v>0</v>
      </c>
      <c r="AW39" s="234">
        <v>0.41810344827586204</v>
      </c>
      <c r="AX39" s="234">
        <v>136.66666666666666</v>
      </c>
      <c r="AY39" s="244">
        <v>0.36700757734423034</v>
      </c>
      <c r="AZ39" s="245">
        <f t="shared" si="2"/>
        <v>0.63299242265576972</v>
      </c>
      <c r="BA39" s="242">
        <v>0.74515480021471081</v>
      </c>
      <c r="BB39" s="242">
        <v>0.33865453823070957</v>
      </c>
      <c r="BC39" s="244">
        <v>0.4741758754322335</v>
      </c>
      <c r="BD39" s="240"/>
      <c r="BE39" s="240"/>
      <c r="BF39" s="83"/>
      <c r="BG39" s="174"/>
      <c r="BH39" s="83"/>
      <c r="BI39" s="83"/>
      <c r="BJ39" s="83"/>
      <c r="BK39" s="56"/>
      <c r="BQ39" s="312">
        <v>22</v>
      </c>
      <c r="BR39" s="313" t="s">
        <v>76</v>
      </c>
      <c r="BS39" s="314">
        <v>0.66999999999999993</v>
      </c>
      <c r="BT39" s="314">
        <v>0.33</v>
      </c>
      <c r="BU39" s="314"/>
      <c r="BV39" s="315">
        <v>110.45333333333333</v>
      </c>
      <c r="BW39">
        <v>27.613333333333333</v>
      </c>
      <c r="BX39">
        <v>0.16698919529108208</v>
      </c>
      <c r="BY39" s="316">
        <v>0.66795678116432833</v>
      </c>
      <c r="BZ39" s="319">
        <f t="shared" si="0"/>
        <v>0.33204321883567167</v>
      </c>
      <c r="CA39" s="83"/>
      <c r="CB39" s="83"/>
      <c r="CC39" s="83"/>
      <c r="CE39" s="83"/>
      <c r="CF39" s="174"/>
      <c r="CG39" s="83"/>
      <c r="CH39" s="56"/>
    </row>
    <row r="40" spans="1:86" ht="15.75" thickBot="1">
      <c r="A40" s="222">
        <v>0.48447478528958382</v>
      </c>
      <c r="B40" s="222">
        <v>0.13895617705351243</v>
      </c>
      <c r="C40" s="222">
        <v>0.3765690376569038</v>
      </c>
      <c r="D40" s="222">
        <v>136.08000000000001</v>
      </c>
      <c r="E40" s="140">
        <v>0.34233921511046433</v>
      </c>
      <c r="F40" s="260">
        <f t="shared" si="4"/>
        <v>0.65766078488953572</v>
      </c>
      <c r="G40" s="241">
        <v>0.5978902457411267</v>
      </c>
      <c r="H40" s="241">
        <v>0.3145504720942503</v>
      </c>
      <c r="I40" s="140">
        <f t="shared" si="5"/>
        <v>0.39320896829190677</v>
      </c>
      <c r="AU40" s="237">
        <v>0.59734513274336276</v>
      </c>
      <c r="AV40" s="237">
        <v>0</v>
      </c>
      <c r="AW40" s="237">
        <v>0.40265486725663713</v>
      </c>
      <c r="AX40" s="237">
        <v>133.81333333333333</v>
      </c>
      <c r="AY40" s="244">
        <v>0.35387325156289595</v>
      </c>
      <c r="AZ40" s="245">
        <f t="shared" si="2"/>
        <v>0.64612674843710405</v>
      </c>
      <c r="BA40" s="242">
        <v>0.74938810217856811</v>
      </c>
      <c r="BB40" s="242">
        <v>0.32543108998437797</v>
      </c>
      <c r="BC40" s="244">
        <v>0.48677921271080815</v>
      </c>
      <c r="BD40" s="240"/>
      <c r="BE40" s="240"/>
      <c r="BF40" s="83"/>
      <c r="BG40" s="174"/>
      <c r="BH40" s="83"/>
      <c r="BI40" s="83"/>
      <c r="BJ40" s="83"/>
      <c r="BK40" s="56"/>
      <c r="BQ40" s="312">
        <v>23</v>
      </c>
      <c r="BR40" s="313" t="s">
        <v>76</v>
      </c>
      <c r="BS40" s="314">
        <v>0.64</v>
      </c>
      <c r="BT40" s="314">
        <v>0.36</v>
      </c>
      <c r="BU40" s="314"/>
      <c r="BV40" s="315">
        <v>108.93333333333334</v>
      </c>
      <c r="BW40">
        <v>27.233333333333334</v>
      </c>
      <c r="BX40">
        <v>0.16469117884212225</v>
      </c>
      <c r="BY40" s="316">
        <v>0.65876471536848902</v>
      </c>
      <c r="BZ40" s="319">
        <f t="shared" si="0"/>
        <v>0.34123528463151098</v>
      </c>
      <c r="CA40" s="83"/>
      <c r="CB40" s="83"/>
      <c r="CC40" s="83"/>
      <c r="CE40" s="83"/>
      <c r="CF40" s="174"/>
      <c r="CG40" s="83"/>
      <c r="CH40" s="56"/>
    </row>
    <row r="41" spans="1:86">
      <c r="A41" s="227">
        <v>0.61085972850678727</v>
      </c>
      <c r="B41" s="227">
        <v>0</v>
      </c>
      <c r="C41" s="227">
        <v>0.38914027149321262</v>
      </c>
      <c r="D41" s="227">
        <v>133.14666666666668</v>
      </c>
      <c r="E41" s="244">
        <v>0.34238319373504122</v>
      </c>
      <c r="F41" s="261">
        <f t="shared" si="4"/>
        <v>0.65761680626495878</v>
      </c>
      <c r="G41" s="242">
        <v>0.75295277138654582</v>
      </c>
      <c r="H41" s="242">
        <v>0.31386306587748147</v>
      </c>
      <c r="I41" s="251" t="e">
        <f>#REF!</f>
        <v>#REF!</v>
      </c>
      <c r="AU41" s="227">
        <v>0.61085972850678727</v>
      </c>
      <c r="AV41" s="227">
        <v>0</v>
      </c>
      <c r="AW41" s="227">
        <v>0.38914027149321262</v>
      </c>
      <c r="AX41" s="227">
        <v>133.14666666666668</v>
      </c>
      <c r="AY41" s="244">
        <v>0.34238319373504122</v>
      </c>
      <c r="AZ41" s="245">
        <f t="shared" si="2"/>
        <v>0.65761680626495878</v>
      </c>
      <c r="BA41" s="242">
        <v>0.75295277138654582</v>
      </c>
      <c r="BB41" s="242">
        <v>0.31386306587748147</v>
      </c>
      <c r="BC41" s="251" t="e">
        <f>#REF!</f>
        <v>#REF!</v>
      </c>
      <c r="BD41" s="240"/>
      <c r="BE41" s="240"/>
      <c r="BF41" s="83"/>
      <c r="BG41" s="174"/>
      <c r="BH41" s="83"/>
      <c r="BI41" s="83"/>
      <c r="BJ41" s="83"/>
      <c r="BK41" s="56"/>
      <c r="BQ41" s="312">
        <v>24</v>
      </c>
      <c r="BR41" s="313" t="s">
        <v>76</v>
      </c>
      <c r="BS41" s="314">
        <v>0.62</v>
      </c>
      <c r="BT41" s="314">
        <v>0.38</v>
      </c>
      <c r="BU41" s="314"/>
      <c r="BV41" s="315">
        <v>108.32000000000001</v>
      </c>
      <c r="BW41">
        <v>27.080000000000002</v>
      </c>
      <c r="BX41">
        <v>0.16376390904692792</v>
      </c>
      <c r="BY41" s="316">
        <v>0.65505563618771168</v>
      </c>
      <c r="BZ41" s="319">
        <f t="shared" si="0"/>
        <v>0.34494436381228832</v>
      </c>
      <c r="CA41" s="83"/>
      <c r="CB41" s="83"/>
      <c r="CC41" s="83"/>
      <c r="CE41" s="83"/>
      <c r="CF41" s="174"/>
      <c r="CG41" s="83"/>
      <c r="CH41" s="56"/>
    </row>
    <row r="42" spans="1:86" ht="15.75" thickBot="1">
      <c r="A42" s="230">
        <v>0.59734513274336276</v>
      </c>
      <c r="B42" s="230">
        <v>0</v>
      </c>
      <c r="C42" s="230">
        <v>0.40265486725663713</v>
      </c>
      <c r="D42" s="230">
        <v>133.81333333333333</v>
      </c>
      <c r="E42" s="244">
        <v>0.35387325156289595</v>
      </c>
      <c r="F42" s="261">
        <f t="shared" si="4"/>
        <v>0.64612674843710405</v>
      </c>
      <c r="G42" s="242">
        <v>0.74938810217856811</v>
      </c>
      <c r="H42" s="242">
        <v>0.32543108998437797</v>
      </c>
      <c r="I42" s="244">
        <v>0.48677921271080815</v>
      </c>
      <c r="BA42" s="93"/>
      <c r="BB42" s="240"/>
      <c r="BC42" s="240"/>
      <c r="BD42" s="240"/>
      <c r="BE42" s="240"/>
      <c r="BF42" s="83"/>
      <c r="BG42" s="174"/>
      <c r="BH42" s="83"/>
      <c r="BI42" s="83"/>
      <c r="BJ42" s="83"/>
      <c r="BK42" s="56"/>
      <c r="BQ42" s="312">
        <v>25</v>
      </c>
      <c r="BR42" s="313" t="s">
        <v>76</v>
      </c>
      <c r="BS42" s="314">
        <v>0.57000000000000006</v>
      </c>
      <c r="BT42" s="314">
        <v>0.43</v>
      </c>
      <c r="BU42" s="314"/>
      <c r="BV42" s="315">
        <v>109.60000000000002</v>
      </c>
      <c r="BW42">
        <v>27.400000000000006</v>
      </c>
      <c r="BX42">
        <v>0.16569908079342047</v>
      </c>
      <c r="BY42" s="316">
        <v>0.66279632317368187</v>
      </c>
      <c r="BZ42" s="319">
        <f t="shared" si="0"/>
        <v>0.33720367682631813</v>
      </c>
      <c r="CA42" s="83"/>
      <c r="CB42" s="83"/>
      <c r="CC42" s="83"/>
      <c r="CE42" s="83"/>
      <c r="CF42" s="174"/>
      <c r="CG42" s="83"/>
      <c r="CH42" s="56"/>
    </row>
    <row r="43" spans="1:86" ht="15.75" thickBot="1">
      <c r="A43" s="234">
        <v>0.5818965517241379</v>
      </c>
      <c r="B43" s="234">
        <v>0</v>
      </c>
      <c r="C43" s="234">
        <v>0.41810344827586204</v>
      </c>
      <c r="D43" s="234">
        <v>136.66666666666666</v>
      </c>
      <c r="E43" s="244">
        <v>0.36700757734423034</v>
      </c>
      <c r="F43" s="261">
        <f t="shared" si="4"/>
        <v>0.63299242265576972</v>
      </c>
      <c r="G43" s="242">
        <v>0.74515480021471081</v>
      </c>
      <c r="H43" s="242">
        <v>0.33865453823070957</v>
      </c>
      <c r="I43" s="244">
        <v>0.4741758754322335</v>
      </c>
      <c r="BA43" s="93"/>
      <c r="BB43" s="240"/>
      <c r="BC43" s="240"/>
      <c r="BD43" s="240"/>
      <c r="BE43" s="240"/>
      <c r="BF43" s="83"/>
      <c r="BG43" s="174"/>
      <c r="BH43" s="83"/>
      <c r="BI43" s="83"/>
      <c r="BJ43" s="83"/>
      <c r="BK43" s="56"/>
      <c r="BQ43" s="312">
        <v>26</v>
      </c>
      <c r="BR43" s="313" t="s">
        <v>76</v>
      </c>
      <c r="BS43" s="314">
        <v>0.52</v>
      </c>
      <c r="BT43" s="314">
        <v>0.48</v>
      </c>
      <c r="BU43" s="314"/>
      <c r="BV43" s="315">
        <v>109.36000000000001</v>
      </c>
      <c r="BW43">
        <v>27.340000000000003</v>
      </c>
      <c r="BX43">
        <v>0.16533623609095308</v>
      </c>
      <c r="BY43" s="316">
        <v>0.6613449443638123</v>
      </c>
      <c r="BZ43" s="319">
        <f t="shared" si="0"/>
        <v>0.3386550556361877</v>
      </c>
      <c r="CA43" s="83"/>
      <c r="CB43" s="83"/>
      <c r="CC43" s="83"/>
      <c r="CE43" s="83"/>
      <c r="CF43" s="174"/>
      <c r="CG43" s="83"/>
      <c r="CH43" s="56"/>
    </row>
    <row r="44" spans="1:86">
      <c r="A44" s="237">
        <v>0.56657223796033995</v>
      </c>
      <c r="B44" s="237">
        <v>0</v>
      </c>
      <c r="C44" s="237">
        <v>0.43342776203966005</v>
      </c>
      <c r="D44" s="237">
        <v>135.22666666666669</v>
      </c>
      <c r="E44" s="244">
        <v>0.38003625275209435</v>
      </c>
      <c r="F44" s="261">
        <f t="shared" si="4"/>
        <v>0.61996374724790559</v>
      </c>
      <c r="G44" s="242">
        <v>0.74077833774877022</v>
      </c>
      <c r="H44" s="242">
        <v>0.35177161802683821</v>
      </c>
      <c r="I44" s="244">
        <v>0.46167408483593442</v>
      </c>
      <c r="BA44" s="93"/>
      <c r="BB44" s="240"/>
      <c r="BC44" s="240"/>
      <c r="BD44" s="240"/>
      <c r="BE44" s="240"/>
      <c r="BF44" s="83"/>
      <c r="BG44" s="174"/>
      <c r="BH44" s="83"/>
      <c r="BI44" s="83"/>
      <c r="BJ44" s="83"/>
      <c r="BK44" s="56"/>
      <c r="BQ44" s="312">
        <v>27</v>
      </c>
      <c r="BR44" s="313" t="s">
        <v>76</v>
      </c>
      <c r="BS44" s="314">
        <v>0.48</v>
      </c>
      <c r="BT44" s="314">
        <v>0.52</v>
      </c>
      <c r="BU44" s="314"/>
      <c r="BV44" s="315">
        <v>111.68</v>
      </c>
      <c r="BW44">
        <v>27.92</v>
      </c>
      <c r="BX44">
        <v>0.16884373488147075</v>
      </c>
      <c r="BY44" s="316">
        <v>0.67537493952588301</v>
      </c>
      <c r="BZ44" s="319">
        <f t="shared" si="0"/>
        <v>0.32462506047411699</v>
      </c>
      <c r="CA44" s="83"/>
      <c r="CB44" s="83"/>
      <c r="CC44" s="83"/>
      <c r="CE44" s="83"/>
      <c r="CF44" s="174"/>
      <c r="CG44" s="83"/>
      <c r="CH44" s="56"/>
    </row>
    <row r="45" spans="1:86">
      <c r="A45" s="227">
        <v>0.5524861878453039</v>
      </c>
      <c r="B45" s="227">
        <v>0</v>
      </c>
      <c r="C45" s="227">
        <v>0.44751381215469616</v>
      </c>
      <c r="D45" s="227">
        <v>135.76000000000002</v>
      </c>
      <c r="E45" s="264">
        <v>0.39201216204690681</v>
      </c>
      <c r="F45" s="262">
        <f t="shared" si="4"/>
        <v>0.60798783795309319</v>
      </c>
      <c r="G45" s="242">
        <v>0.73659006348867362</v>
      </c>
      <c r="H45" s="242">
        <v>0.36382878719076445</v>
      </c>
      <c r="I45" s="264">
        <v>0.45018264244560424</v>
      </c>
      <c r="BA45" s="93"/>
      <c r="BB45" s="240"/>
      <c r="BC45" s="240"/>
      <c r="BD45" s="240"/>
      <c r="BE45" s="240"/>
      <c r="BF45" s="83"/>
      <c r="BG45" s="174"/>
      <c r="BH45" s="83"/>
      <c r="BI45" s="83"/>
      <c r="BJ45" s="83"/>
      <c r="BK45" s="56"/>
      <c r="BQ45" s="312">
        <v>28</v>
      </c>
      <c r="BR45" s="313" t="s">
        <v>4</v>
      </c>
      <c r="BS45" s="314"/>
      <c r="BT45" s="314">
        <v>1</v>
      </c>
      <c r="BU45" s="314"/>
      <c r="BV45" s="315">
        <v>106</v>
      </c>
      <c r="BW45">
        <v>26.5</v>
      </c>
      <c r="BX45">
        <v>0.16025641025641027</v>
      </c>
      <c r="BY45" s="316">
        <v>0.64102564102564108</v>
      </c>
      <c r="BZ45" s="319">
        <f t="shared" si="0"/>
        <v>0.35897435897435892</v>
      </c>
      <c r="CA45" s="83"/>
      <c r="CB45" s="83"/>
      <c r="CC45" s="82"/>
      <c r="CE45" s="83"/>
      <c r="CF45" s="174"/>
      <c r="CG45" s="83"/>
      <c r="CH45" s="56"/>
    </row>
    <row r="46" spans="1:86"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Q46" s="312">
        <v>29</v>
      </c>
      <c r="BR46" s="313" t="s">
        <v>77</v>
      </c>
      <c r="BS46" s="314">
        <v>0.45392646391284608</v>
      </c>
      <c r="BT46" s="314">
        <v>0.1693145710394916</v>
      </c>
      <c r="BU46" s="314">
        <v>0.37675896504766226</v>
      </c>
      <c r="BV46" s="315">
        <v>131.09333333333333</v>
      </c>
      <c r="BW46">
        <v>32.773333333333333</v>
      </c>
      <c r="BX46">
        <v>0.19819383970327367</v>
      </c>
      <c r="BY46" s="316">
        <v>0.79277535881309469</v>
      </c>
      <c r="BZ46" s="319">
        <f t="shared" si="0"/>
        <v>0.20722464118690531</v>
      </c>
      <c r="CA46" s="83"/>
      <c r="CB46" s="83"/>
      <c r="CC46" s="83"/>
      <c r="CE46" s="83"/>
      <c r="CF46" s="174"/>
      <c r="CG46" s="82"/>
      <c r="CH46" s="56"/>
    </row>
    <row r="47" spans="1:86"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Q47" s="312">
        <v>30</v>
      </c>
      <c r="BR47" s="313" t="s">
        <v>77</v>
      </c>
      <c r="BS47" s="314">
        <v>0.45372050816696918</v>
      </c>
      <c r="BT47" s="314">
        <v>0.19918330308529944</v>
      </c>
      <c r="BU47" s="314">
        <v>0.3470961887477314</v>
      </c>
      <c r="BV47" s="315">
        <v>131.49333333333334</v>
      </c>
      <c r="BW47">
        <v>32.873333333333335</v>
      </c>
      <c r="BX47">
        <v>0.19879858087405258</v>
      </c>
      <c r="BY47" s="316">
        <v>0.79519432349621033</v>
      </c>
      <c r="BZ47" s="319">
        <f t="shared" si="0"/>
        <v>0.20480567650378967</v>
      </c>
      <c r="CA47" s="83"/>
      <c r="CB47" s="83"/>
      <c r="CC47" s="83"/>
      <c r="CE47" s="83"/>
      <c r="CF47" s="174"/>
      <c r="CG47" s="83"/>
      <c r="CH47" s="56"/>
    </row>
    <row r="48" spans="1:86">
      <c r="E48" s="254"/>
      <c r="AT48" s="56"/>
      <c r="AU48" s="216">
        <v>0.48447478528958382</v>
      </c>
      <c r="AV48" s="216">
        <v>0.19951552521471044</v>
      </c>
      <c r="AW48" s="216">
        <v>0.31490861043822949</v>
      </c>
      <c r="AX48" s="216">
        <v>132.02666666666667</v>
      </c>
      <c r="AY48" s="140">
        <v>0.29454643422405358</v>
      </c>
      <c r="AZ48" s="243">
        <f t="shared" ref="AZ48:AZ61" si="6">1-AY48</f>
        <v>0.70545356577594642</v>
      </c>
      <c r="BA48" s="241">
        <v>0.55856166329815216</v>
      </c>
      <c r="BB48" s="241">
        <v>0.26675413378132928</v>
      </c>
      <c r="BC48" s="246">
        <f>BA48*AZ48</f>
        <v>0.39403931707942502</v>
      </c>
      <c r="BD48" s="56"/>
      <c r="BE48" s="56"/>
      <c r="BF48" s="56"/>
      <c r="BG48" s="56"/>
      <c r="BH48" s="93"/>
      <c r="BI48" s="93"/>
      <c r="BJ48" s="93"/>
      <c r="BK48" s="56"/>
      <c r="BQ48" s="312">
        <v>31</v>
      </c>
      <c r="BR48" s="313" t="s">
        <v>77</v>
      </c>
      <c r="BS48" s="314">
        <v>0.4533091568449682</v>
      </c>
      <c r="BT48" s="314">
        <v>0.13871260199456029</v>
      </c>
      <c r="BU48" s="314">
        <v>0.40797824116047138</v>
      </c>
      <c r="BV48" s="315">
        <v>132.48000000000002</v>
      </c>
      <c r="BW48">
        <v>33.120000000000005</v>
      </c>
      <c r="BX48">
        <v>0.20029027576197392</v>
      </c>
      <c r="BY48" s="316">
        <v>0.80116110304789567</v>
      </c>
      <c r="BZ48" s="319">
        <f t="shared" si="0"/>
        <v>0.19883889695210433</v>
      </c>
      <c r="CA48" s="83"/>
      <c r="CB48" s="83"/>
      <c r="CC48" s="83"/>
      <c r="CE48" s="83"/>
      <c r="CF48" s="174"/>
      <c r="CG48" s="83"/>
      <c r="CH48" s="56"/>
    </row>
    <row r="49" spans="4:86">
      <c r="D49" s="83"/>
      <c r="E49" s="254"/>
      <c r="F49" s="56"/>
      <c r="AT49" s="174"/>
      <c r="AU49" s="216">
        <v>0.48479506390480392</v>
      </c>
      <c r="AV49" s="216">
        <v>0.16923754958131337</v>
      </c>
      <c r="AW49" s="216">
        <v>0.34596738651388281</v>
      </c>
      <c r="AX49" s="216">
        <v>133.65333333333334</v>
      </c>
      <c r="AY49" s="140">
        <v>0.31864144623286517</v>
      </c>
      <c r="AZ49" s="243">
        <f t="shared" si="6"/>
        <v>0.68135855376713483</v>
      </c>
      <c r="BA49" s="241">
        <v>0.57763635880680286</v>
      </c>
      <c r="BB49" s="241">
        <v>0.29085126239152748</v>
      </c>
      <c r="BC49" s="246">
        <f>BA49*AZ49</f>
        <v>0.393577474039917</v>
      </c>
      <c r="BD49" s="240"/>
      <c r="BE49" s="240"/>
      <c r="BF49" s="83"/>
      <c r="BG49" s="174"/>
      <c r="BH49" s="83"/>
      <c r="BI49" s="83"/>
      <c r="BJ49" s="83"/>
      <c r="BK49" s="56"/>
      <c r="BQ49" s="312">
        <v>32</v>
      </c>
      <c r="BR49" s="313" t="s">
        <v>77</v>
      </c>
      <c r="BS49" s="314">
        <v>0.48479506390480392</v>
      </c>
      <c r="BT49" s="314">
        <v>0.16923754958131337</v>
      </c>
      <c r="BU49" s="314">
        <v>0.34596738651388281</v>
      </c>
      <c r="BV49" s="315">
        <v>133.65333333333334</v>
      </c>
      <c r="BW49">
        <v>33.413333333333334</v>
      </c>
      <c r="BX49">
        <v>0.20206418319625868</v>
      </c>
      <c r="BY49" s="316">
        <v>0.80825673278503474</v>
      </c>
      <c r="BZ49" s="319">
        <f t="shared" si="0"/>
        <v>0.19174326721496526</v>
      </c>
      <c r="CA49" s="83"/>
      <c r="CB49" s="83"/>
      <c r="CC49" s="83"/>
      <c r="CE49" s="56"/>
      <c r="CF49" s="56"/>
      <c r="CG49" s="83"/>
      <c r="CH49" s="56"/>
    </row>
    <row r="50" spans="4:86">
      <c r="D50" s="83"/>
      <c r="E50" s="56"/>
      <c r="F50" s="56"/>
      <c r="AT50" s="174"/>
      <c r="AU50" s="219">
        <v>0.45372050816696918</v>
      </c>
      <c r="AV50" s="219">
        <v>0.19918330308529944</v>
      </c>
      <c r="AW50" s="219">
        <v>0.3470961887477314</v>
      </c>
      <c r="AX50" s="219">
        <v>131.49333333333334</v>
      </c>
      <c r="AY50" s="140">
        <v>0.32189526844113597</v>
      </c>
      <c r="AZ50" s="243">
        <f t="shared" si="6"/>
        <v>0.67810473155886397</v>
      </c>
      <c r="BA50" s="241">
        <v>0.54342120395432714</v>
      </c>
      <c r="BB50" s="241">
        <v>0.29428456752433269</v>
      </c>
      <c r="BC50" s="246">
        <f>BA50*AZ50</f>
        <v>0.36849648963084369</v>
      </c>
      <c r="BD50" s="240"/>
      <c r="BE50" s="240"/>
      <c r="BF50" s="83"/>
      <c r="BG50" s="174"/>
      <c r="BH50" s="83"/>
      <c r="BI50" s="83"/>
      <c r="BJ50" s="83"/>
      <c r="BK50" s="56"/>
      <c r="BQ50" s="312">
        <v>33</v>
      </c>
      <c r="BR50" s="313" t="s">
        <v>77</v>
      </c>
      <c r="BS50" s="314">
        <v>0.48447478528958382</v>
      </c>
      <c r="BT50" s="314">
        <v>0.19951552521471044</v>
      </c>
      <c r="BU50" s="314">
        <v>0.31490861043822949</v>
      </c>
      <c r="BV50" s="315">
        <v>132.02666666666667</v>
      </c>
      <c r="BW50">
        <v>33.006666666666668</v>
      </c>
      <c r="BX50">
        <v>0.19960490243509113</v>
      </c>
      <c r="BY50" s="316">
        <v>0.79841960974036452</v>
      </c>
      <c r="BZ50" s="319">
        <f t="shared" si="0"/>
        <v>0.20158039025963548</v>
      </c>
      <c r="CA50" s="56"/>
      <c r="CB50" s="56"/>
      <c r="CC50" s="56"/>
      <c r="CE50" s="56"/>
      <c r="CF50" s="56"/>
      <c r="CG50" s="83"/>
      <c r="CH50" s="56"/>
    </row>
    <row r="51" spans="4:86">
      <c r="D51" s="56"/>
      <c r="E51" s="56"/>
      <c r="F51" s="56"/>
      <c r="AU51" s="237">
        <v>0.61085972850678727</v>
      </c>
      <c r="AV51" s="237">
        <v>0</v>
      </c>
      <c r="AW51" s="237">
        <v>0.38914027149321262</v>
      </c>
      <c r="AX51" s="237">
        <v>133.14666666666668</v>
      </c>
      <c r="AY51" s="244">
        <v>0.34238319373504122</v>
      </c>
      <c r="AZ51" s="245">
        <f t="shared" si="6"/>
        <v>0.65761680626495878</v>
      </c>
      <c r="BA51" s="242">
        <v>0.75295277138654582</v>
      </c>
      <c r="BB51" s="242">
        <v>0.31386306587748147</v>
      </c>
      <c r="BC51" s="252" t="e">
        <f>#REF!</f>
        <v>#REF!</v>
      </c>
      <c r="BD51" s="240"/>
      <c r="BE51" s="240"/>
      <c r="BF51" s="83"/>
      <c r="BG51" s="174"/>
      <c r="BH51" s="83"/>
      <c r="BI51" s="83"/>
      <c r="BJ51" s="83"/>
      <c r="BK51" s="56"/>
      <c r="BQ51" s="312">
        <v>34</v>
      </c>
      <c r="BR51" s="313" t="s">
        <v>77</v>
      </c>
      <c r="BS51" s="314">
        <v>0.48447478528958382</v>
      </c>
      <c r="BT51" s="314">
        <v>0.13895617705351243</v>
      </c>
      <c r="BU51" s="314">
        <v>0.3765690376569038</v>
      </c>
      <c r="BV51" s="315">
        <v>136.08000000000001</v>
      </c>
      <c r="BW51">
        <v>34.020000000000003</v>
      </c>
      <c r="BX51">
        <v>0.20573294629898406</v>
      </c>
      <c r="BY51" s="316">
        <v>0.82293178519593624</v>
      </c>
      <c r="BZ51" s="319">
        <f t="shared" si="0"/>
        <v>0.17706821480406376</v>
      </c>
      <c r="CA51" s="56"/>
      <c r="CB51" s="56"/>
      <c r="CC51" s="56"/>
      <c r="CE51" s="56"/>
      <c r="CF51" s="56"/>
      <c r="CG51" s="56"/>
      <c r="CH51" s="56"/>
    </row>
    <row r="52" spans="4:86">
      <c r="D52" s="56"/>
      <c r="E52" s="56"/>
      <c r="F52" s="56"/>
      <c r="AB52" s="173" t="e">
        <f>#REF!</f>
        <v>#REF!</v>
      </c>
      <c r="AD52" s="89" t="s">
        <v>42</v>
      </c>
      <c r="AE52" s="16" t="s">
        <v>28</v>
      </c>
      <c r="AF52" s="12"/>
      <c r="AH52" s="10" t="s">
        <v>20</v>
      </c>
      <c r="AI52" s="34" t="s">
        <v>33</v>
      </c>
      <c r="AJ52" s="34" t="s">
        <v>34</v>
      </c>
      <c r="AL52" s="230">
        <v>0.59734513274336276</v>
      </c>
      <c r="AM52" s="230">
        <v>0</v>
      </c>
      <c r="AN52" s="230">
        <v>0.40265486725663713</v>
      </c>
      <c r="AP52" s="230">
        <v>133.81333333333333</v>
      </c>
      <c r="AR52" s="141">
        <v>0.35387325156289595</v>
      </c>
      <c r="AT52" s="10"/>
      <c r="AU52" s="216">
        <v>0.48447478528958382</v>
      </c>
      <c r="AV52" s="216">
        <v>0.13895617705351243</v>
      </c>
      <c r="AW52" s="216">
        <v>0.3765690376569038</v>
      </c>
      <c r="AX52" s="216">
        <v>136.08000000000001</v>
      </c>
      <c r="AY52" s="140">
        <v>0.34233921511046433</v>
      </c>
      <c r="AZ52" s="243">
        <f t="shared" si="6"/>
        <v>0.65766078488953572</v>
      </c>
      <c r="BA52" s="241">
        <v>0.5978902457411267</v>
      </c>
      <c r="BB52" s="241">
        <v>0.3145504720942503</v>
      </c>
      <c r="BC52" s="246">
        <f>BA52*AZ52</f>
        <v>0.39320896829190677</v>
      </c>
      <c r="BD52" s="240"/>
      <c r="BE52" s="240"/>
      <c r="BF52" s="83"/>
      <c r="BG52" s="174"/>
      <c r="BH52" s="83"/>
      <c r="BI52" s="83"/>
      <c r="BJ52" s="83"/>
      <c r="BK52" s="56"/>
      <c r="BQ52" s="312">
        <v>35</v>
      </c>
      <c r="BR52" s="313" t="s">
        <v>77</v>
      </c>
      <c r="BS52" s="314">
        <v>0.42390843577787196</v>
      </c>
      <c r="BT52" s="314">
        <v>0.16913946587537093</v>
      </c>
      <c r="BU52" s="314">
        <v>0.40695209834675711</v>
      </c>
      <c r="BV52" s="315">
        <v>135.62666666666669</v>
      </c>
      <c r="BW52">
        <v>33.906666666666673</v>
      </c>
      <c r="BX52">
        <v>0.20504757297210133</v>
      </c>
      <c r="BY52" s="316">
        <v>0.82019029188840531</v>
      </c>
      <c r="BZ52" s="319">
        <f t="shared" si="0"/>
        <v>0.17980970811159469</v>
      </c>
    </row>
    <row r="53" spans="4:86">
      <c r="D53" s="56"/>
      <c r="E53" s="56"/>
      <c r="F53" s="83"/>
      <c r="H53" s="173"/>
      <c r="J53" s="89" t="s">
        <v>42</v>
      </c>
      <c r="K53" s="16" t="s">
        <v>28</v>
      </c>
      <c r="L53" s="12"/>
      <c r="M53" s="10" t="s">
        <v>20</v>
      </c>
      <c r="N53" s="34" t="s">
        <v>33</v>
      </c>
      <c r="O53" s="34" t="s">
        <v>34</v>
      </c>
      <c r="Q53" s="216">
        <v>0.48479506390480392</v>
      </c>
      <c r="R53" s="216">
        <v>0.16923754958131337</v>
      </c>
      <c r="S53" s="216">
        <v>0.34596738651388281</v>
      </c>
      <c r="U53" s="216">
        <v>133.65333333333334</v>
      </c>
      <c r="AD53" s="16" t="s">
        <v>31</v>
      </c>
      <c r="AE53" s="143">
        <v>0.74938810217856811</v>
      </c>
      <c r="AF53" s="12"/>
      <c r="AH53" s="16">
        <v>2</v>
      </c>
      <c r="AI53" s="137">
        <v>470</v>
      </c>
      <c r="AJ53" s="138">
        <v>0</v>
      </c>
      <c r="AT53" s="174"/>
      <c r="AU53" s="216">
        <v>0.45392646391284608</v>
      </c>
      <c r="AV53" s="216">
        <v>0.1693145710394916</v>
      </c>
      <c r="AW53" s="216">
        <v>0.37675896504766226</v>
      </c>
      <c r="AX53" s="216">
        <v>131.09333333333333</v>
      </c>
      <c r="AY53" s="140">
        <v>0.34482637033034785</v>
      </c>
      <c r="AZ53" s="243">
        <f t="shared" si="6"/>
        <v>0.6551736296696522</v>
      </c>
      <c r="BA53" s="241">
        <v>0.56253188891860884</v>
      </c>
      <c r="BB53" s="241">
        <v>0.31721412851042335</v>
      </c>
      <c r="BC53" s="246">
        <f>BA53*AZ53</f>
        <v>0.36855605946773057</v>
      </c>
      <c r="BD53" s="240"/>
      <c r="BE53" s="240"/>
      <c r="BF53" s="83"/>
      <c r="BG53" s="174"/>
      <c r="BH53" s="83"/>
      <c r="BI53" s="83"/>
      <c r="BJ53" s="83"/>
      <c r="BK53" s="56"/>
      <c r="BQ53" s="312">
        <v>36</v>
      </c>
      <c r="BR53" s="313" t="s">
        <v>77</v>
      </c>
      <c r="BS53" s="314">
        <v>0.42337002540220159</v>
      </c>
      <c r="BT53" s="314">
        <v>0.1384419983065199</v>
      </c>
      <c r="BU53" s="314">
        <v>0.43818797629127859</v>
      </c>
      <c r="BV53" s="315">
        <v>134.69333333333336</v>
      </c>
      <c r="BW53">
        <v>33.673333333333339</v>
      </c>
      <c r="BX53">
        <v>0.20363651024028387</v>
      </c>
      <c r="BY53" s="316">
        <v>0.81454604096113548</v>
      </c>
      <c r="BZ53" s="319">
        <f t="shared" si="0"/>
        <v>0.18545395903886452</v>
      </c>
    </row>
    <row r="54" spans="4:86">
      <c r="J54" s="16" t="s">
        <v>31</v>
      </c>
      <c r="K54" s="143">
        <v>0.57763635880680286</v>
      </c>
      <c r="L54" s="12"/>
      <c r="M54" s="16"/>
      <c r="N54" s="137">
        <v>470</v>
      </c>
      <c r="O54" s="138">
        <v>0</v>
      </c>
      <c r="AD54" s="16" t="s">
        <v>32</v>
      </c>
      <c r="AE54" s="143">
        <v>0.32543108998437797</v>
      </c>
      <c r="AF54" s="12"/>
      <c r="AT54" s="248">
        <v>134.66666666666669</v>
      </c>
      <c r="AU54" s="216">
        <v>0.42390843577787196</v>
      </c>
      <c r="AV54" s="216">
        <v>0.19923696481559983</v>
      </c>
      <c r="AW54" s="216">
        <v>0.37685459940652821</v>
      </c>
      <c r="AX54" s="216">
        <v>130.16</v>
      </c>
      <c r="AY54" s="140">
        <v>0.34720003867538729</v>
      </c>
      <c r="AZ54" s="243">
        <f t="shared" si="6"/>
        <v>0.65279996132461271</v>
      </c>
      <c r="BA54" s="241">
        <v>0.52746843688890843</v>
      </c>
      <c r="BB54" s="241">
        <v>0.31976115336472843</v>
      </c>
      <c r="BC54" s="246">
        <f>BA54*AZ54</f>
        <v>0.34433137520103335</v>
      </c>
      <c r="BD54" s="240"/>
      <c r="BE54" s="240"/>
      <c r="BF54" s="83"/>
      <c r="BG54" s="174"/>
      <c r="BH54" s="83"/>
      <c r="BI54" s="83"/>
      <c r="BJ54" s="83"/>
      <c r="BK54" s="56"/>
      <c r="BQ54" s="312">
        <v>37</v>
      </c>
      <c r="BR54" s="313" t="s">
        <v>77</v>
      </c>
      <c r="BS54" s="314">
        <v>0.42372881355932202</v>
      </c>
      <c r="BT54" s="314">
        <v>0.19915254237288135</v>
      </c>
      <c r="BU54" s="314">
        <v>0.3771186440677966</v>
      </c>
      <c r="BV54" s="315">
        <v>134.66666666666669</v>
      </c>
      <c r="BW54">
        <v>33.666666666666671</v>
      </c>
      <c r="BX54">
        <v>0.20359619416223193</v>
      </c>
      <c r="BY54" s="316">
        <v>0.81438477664892772</v>
      </c>
      <c r="BZ54" s="319">
        <f t="shared" si="0"/>
        <v>0.18561522335107228</v>
      </c>
    </row>
    <row r="55" spans="4:86" ht="15.75" thickBot="1">
      <c r="J55" s="16" t="s">
        <v>32</v>
      </c>
      <c r="K55" s="143">
        <v>0.29085126239152748</v>
      </c>
      <c r="L55" s="12"/>
      <c r="AU55" s="227">
        <v>0.59734513274336276</v>
      </c>
      <c r="AV55" s="227">
        <v>0</v>
      </c>
      <c r="AW55" s="227">
        <v>0.40265486725663713</v>
      </c>
      <c r="AX55" s="227">
        <v>133.81333333333333</v>
      </c>
      <c r="AY55" s="244">
        <v>0.35387325156289595</v>
      </c>
      <c r="AZ55" s="245">
        <f t="shared" si="6"/>
        <v>0.64612674843710405</v>
      </c>
      <c r="BA55" s="242">
        <v>0.74938810217856811</v>
      </c>
      <c r="BB55" s="242">
        <v>0.32543108998437797</v>
      </c>
      <c r="BC55" s="247">
        <v>0.48677921271080815</v>
      </c>
      <c r="BD55" s="240"/>
      <c r="BE55" s="240"/>
      <c r="BF55" s="83"/>
      <c r="BG55" s="174"/>
      <c r="BH55" s="83"/>
      <c r="BI55" s="83"/>
      <c r="BJ55" s="83"/>
      <c r="BK55" s="56"/>
      <c r="BQ55" s="312">
        <v>38</v>
      </c>
      <c r="BR55" s="313" t="s">
        <v>78</v>
      </c>
      <c r="BS55" s="314">
        <v>0.59734513274336276</v>
      </c>
      <c r="BT55" s="314"/>
      <c r="BU55" s="314">
        <v>0.40265486725663713</v>
      </c>
      <c r="BV55" s="315">
        <v>133.81333333333333</v>
      </c>
      <c r="BW55">
        <v>33.453333333333333</v>
      </c>
      <c r="BX55">
        <v>0.20230607966457023</v>
      </c>
      <c r="BY55" s="316">
        <v>0.80922431865828093</v>
      </c>
      <c r="BZ55" s="319">
        <f t="shared" si="0"/>
        <v>0.19077568134171907</v>
      </c>
    </row>
    <row r="56" spans="4:86" ht="15.75" thickBot="1">
      <c r="AU56" s="234">
        <v>0.5818965517241379</v>
      </c>
      <c r="AV56" s="234">
        <v>0</v>
      </c>
      <c r="AW56" s="234">
        <v>0.41810344827586204</v>
      </c>
      <c r="AX56" s="234">
        <v>136.66666666666666</v>
      </c>
      <c r="AY56" s="244">
        <v>0.36700757734423034</v>
      </c>
      <c r="AZ56" s="245">
        <f t="shared" si="6"/>
        <v>0.63299242265576972</v>
      </c>
      <c r="BA56" s="242">
        <v>0.74515480021471081</v>
      </c>
      <c r="BB56" s="242">
        <v>0.33865453823070957</v>
      </c>
      <c r="BC56" s="247">
        <v>0.4741758754322335</v>
      </c>
      <c r="BD56" s="240"/>
      <c r="BE56" s="240"/>
      <c r="BF56" s="83"/>
      <c r="BG56" s="174"/>
      <c r="BH56" s="83"/>
      <c r="BI56" s="83"/>
      <c r="BJ56" s="83"/>
      <c r="BK56" s="56"/>
      <c r="BQ56" s="312">
        <v>39</v>
      </c>
      <c r="BR56" s="313" t="s">
        <v>78</v>
      </c>
      <c r="BS56" s="314">
        <v>0.61085972850678727</v>
      </c>
      <c r="BT56" s="314"/>
      <c r="BU56" s="314">
        <v>0.38914027149321262</v>
      </c>
      <c r="BV56" s="315">
        <v>132.55999999999997</v>
      </c>
      <c r="BW56">
        <v>33.139999999999993</v>
      </c>
      <c r="BX56">
        <v>0.20041122399612962</v>
      </c>
      <c r="BY56" s="316">
        <v>0.80164489598451849</v>
      </c>
      <c r="BZ56" s="319">
        <f t="shared" si="0"/>
        <v>0.19835510401548151</v>
      </c>
    </row>
    <row r="57" spans="4:86">
      <c r="AT57" s="174"/>
      <c r="AU57" s="216">
        <v>0.4533091568449682</v>
      </c>
      <c r="AV57" s="216">
        <v>0.13871260199456029</v>
      </c>
      <c r="AW57" s="216">
        <v>0.40797824116047138</v>
      </c>
      <c r="AX57" s="216">
        <v>132.48000000000002</v>
      </c>
      <c r="AY57" s="140">
        <v>0.36902466379497156</v>
      </c>
      <c r="AZ57" s="243">
        <f t="shared" si="6"/>
        <v>0.63097533620502844</v>
      </c>
      <c r="BA57" s="241">
        <v>0.58313792558127309</v>
      </c>
      <c r="BB57" s="241">
        <v>0.34141559127621851</v>
      </c>
      <c r="BC57" s="246">
        <f>BA57*AZ57</f>
        <v>0.36794564864754664</v>
      </c>
      <c r="BD57" s="240"/>
      <c r="BE57" s="240"/>
      <c r="BF57" s="83"/>
      <c r="BG57" s="174"/>
      <c r="BH57" s="83"/>
      <c r="BI57" s="83"/>
      <c r="BJ57" s="83"/>
      <c r="BK57" s="56"/>
      <c r="BQ57" s="312">
        <v>40</v>
      </c>
      <c r="BR57" s="313" t="s">
        <v>78</v>
      </c>
      <c r="BS57" s="314">
        <v>0.5818965517241379</v>
      </c>
      <c r="BT57" s="314"/>
      <c r="BU57" s="314">
        <v>0.41810344827586204</v>
      </c>
      <c r="BV57" s="315">
        <v>136.66666666666666</v>
      </c>
      <c r="BW57">
        <v>34.166666666666664</v>
      </c>
      <c r="BX57">
        <v>0.20661990001612643</v>
      </c>
      <c r="BY57" s="316">
        <v>0.82647960006450572</v>
      </c>
      <c r="BZ57" s="319">
        <f t="shared" si="0"/>
        <v>0.17352039993549428</v>
      </c>
    </row>
    <row r="58" spans="4:86" ht="15.75" thickBot="1">
      <c r="AT58" s="126"/>
      <c r="AU58" s="219">
        <v>0.42390843577787196</v>
      </c>
      <c r="AV58" s="219">
        <v>0.16913946587537093</v>
      </c>
      <c r="AW58" s="219">
        <v>0.40695209834675711</v>
      </c>
      <c r="AX58" s="219">
        <v>135.62666666666669</v>
      </c>
      <c r="AY58" s="140">
        <v>0.37048319634007487</v>
      </c>
      <c r="AZ58" s="243">
        <f t="shared" si="6"/>
        <v>0.62951680365992513</v>
      </c>
      <c r="BA58" s="241">
        <v>0.54680540434311609</v>
      </c>
      <c r="BB58" s="241">
        <v>0.34304397478921717</v>
      </c>
      <c r="BC58" s="140">
        <f>BA58*AZ58</f>
        <v>0.34422319036605137</v>
      </c>
      <c r="BD58" s="56"/>
      <c r="BE58" s="56"/>
      <c r="BF58" s="56"/>
      <c r="BG58" s="56"/>
      <c r="BH58" s="56"/>
      <c r="BI58" s="56"/>
      <c r="BJ58" s="56"/>
      <c r="BK58" s="56"/>
      <c r="BQ58" s="312">
        <v>41</v>
      </c>
      <c r="BR58" s="313" t="s">
        <v>78</v>
      </c>
      <c r="BS58" s="314">
        <v>0.56657223796033995</v>
      </c>
      <c r="BT58" s="314"/>
      <c r="BU58" s="314">
        <v>0.43342776203966005</v>
      </c>
      <c r="BV58" s="315">
        <v>135.22666666666669</v>
      </c>
      <c r="BW58">
        <v>33.806666666666672</v>
      </c>
      <c r="BX58">
        <v>0.20444283180132242</v>
      </c>
      <c r="BY58" s="316">
        <v>0.81777132720528967</v>
      </c>
      <c r="BZ58" s="319">
        <f t="shared" si="0"/>
        <v>0.18222867279471033</v>
      </c>
    </row>
    <row r="59" spans="4:86" ht="15.75" thickBot="1">
      <c r="AU59" s="234">
        <v>0.56657223796033995</v>
      </c>
      <c r="AV59" s="234">
        <v>0</v>
      </c>
      <c r="AW59" s="234">
        <v>0.43342776203966005</v>
      </c>
      <c r="AX59" s="234">
        <v>135.22666666666669</v>
      </c>
      <c r="AY59" s="244">
        <v>0.38003625275209435</v>
      </c>
      <c r="AZ59" s="245">
        <f t="shared" si="6"/>
        <v>0.61996374724790559</v>
      </c>
      <c r="BA59" s="242">
        <v>0.74077833774877022</v>
      </c>
      <c r="BB59" s="242">
        <v>0.35177161802683821</v>
      </c>
      <c r="BC59" s="244">
        <v>0.46167408483593442</v>
      </c>
      <c r="BD59" s="56"/>
      <c r="BE59" s="56"/>
      <c r="BF59" s="56"/>
      <c r="BG59" s="56"/>
      <c r="BH59" s="56"/>
      <c r="BI59" s="56"/>
      <c r="BJ59" s="56"/>
      <c r="BK59" s="56"/>
      <c r="BQ59" s="312">
        <v>42</v>
      </c>
      <c r="BR59" s="313" t="s">
        <v>78</v>
      </c>
      <c r="BS59" s="314">
        <v>0.5524861878453039</v>
      </c>
      <c r="BT59" s="314"/>
      <c r="BU59" s="314">
        <v>0.44751381215469616</v>
      </c>
      <c r="BV59" s="315">
        <v>135.76000000000002</v>
      </c>
      <c r="BW59">
        <v>33.940000000000005</v>
      </c>
      <c r="BX59">
        <v>0.20524915336236096</v>
      </c>
      <c r="BY59" s="316">
        <v>0.82099661344944386</v>
      </c>
      <c r="BZ59" s="319">
        <f t="shared" si="0"/>
        <v>0.17900338655055614</v>
      </c>
    </row>
    <row r="60" spans="4:86">
      <c r="AU60" s="237">
        <v>0.5524861878453039</v>
      </c>
      <c r="AV60" s="237">
        <v>0</v>
      </c>
      <c r="AW60" s="237">
        <v>0.44751381215469616</v>
      </c>
      <c r="AX60" s="237">
        <v>135.76000000000002</v>
      </c>
      <c r="AY60" s="244">
        <v>0.39201216204690681</v>
      </c>
      <c r="AZ60" s="245">
        <f t="shared" si="6"/>
        <v>0.60798783795309319</v>
      </c>
      <c r="BA60" s="242">
        <v>0.73659006348867362</v>
      </c>
      <c r="BB60" s="242">
        <v>0.36382878719076445</v>
      </c>
      <c r="BC60" s="244">
        <v>0.45018264244560424</v>
      </c>
      <c r="BD60" s="56"/>
      <c r="BE60" s="56"/>
      <c r="BF60" s="56"/>
      <c r="BG60" s="56"/>
      <c r="BH60" s="56"/>
      <c r="BI60" s="56"/>
      <c r="BJ60" s="56"/>
      <c r="BK60" s="56"/>
      <c r="BQ60" s="312">
        <v>43</v>
      </c>
      <c r="BR60" s="313" t="s">
        <v>77</v>
      </c>
      <c r="BS60" s="314">
        <v>0.42390843577787196</v>
      </c>
      <c r="BT60" s="314">
        <v>0.19923696481559983</v>
      </c>
      <c r="BU60" s="314">
        <v>0.37685459940652821</v>
      </c>
      <c r="BV60" s="315">
        <v>130.16</v>
      </c>
      <c r="BW60">
        <v>32.54</v>
      </c>
      <c r="BX60">
        <v>0.19678277697145621</v>
      </c>
      <c r="BY60" s="316">
        <v>0.78713110788582485</v>
      </c>
      <c r="BZ60" s="319">
        <f t="shared" si="0"/>
        <v>0.21286889211417515</v>
      </c>
    </row>
    <row r="61" spans="4:86">
      <c r="AU61" s="216">
        <v>0.42337002540220159</v>
      </c>
      <c r="AV61" s="216">
        <v>0.1384419983065199</v>
      </c>
      <c r="AW61" s="216">
        <v>0.43818797629127859</v>
      </c>
      <c r="AX61" s="216">
        <v>134.69333333333336</v>
      </c>
      <c r="AY61" s="140">
        <v>0.39468826798077178</v>
      </c>
      <c r="AZ61" s="243">
        <f t="shared" si="6"/>
        <v>0.60531173201922828</v>
      </c>
      <c r="BA61" s="241">
        <v>0.5677676230218065</v>
      </c>
      <c r="BB61" s="241">
        <v>0.36725178047191565</v>
      </c>
      <c r="BC61" s="140">
        <f>BA61*AZ61</f>
        <v>0.34367640327576998</v>
      </c>
      <c r="BD61" s="56"/>
      <c r="BE61" s="56"/>
      <c r="BF61" s="56"/>
      <c r="BG61" s="56"/>
      <c r="BH61" s="56"/>
      <c r="BI61" s="56"/>
      <c r="BJ61" s="56"/>
      <c r="BK61" s="56"/>
    </row>
    <row r="62" spans="4:86"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</row>
    <row r="63" spans="4:86">
      <c r="BA63" s="56"/>
      <c r="BB63" s="56"/>
      <c r="BC63" s="56"/>
      <c r="BD63" s="56"/>
      <c r="BE63" s="56"/>
      <c r="BF63" s="56"/>
      <c r="BG63" s="56"/>
      <c r="BH63" s="93"/>
      <c r="BI63" s="93"/>
      <c r="BJ63" s="93"/>
      <c r="BK63" s="56"/>
    </row>
    <row r="64" spans="4:86">
      <c r="BA64" s="93"/>
      <c r="BB64" s="240"/>
      <c r="BC64" s="240"/>
      <c r="BD64" s="240"/>
      <c r="BE64" s="240"/>
      <c r="BF64" s="83"/>
      <c r="BG64" s="174"/>
      <c r="BH64" s="83"/>
      <c r="BI64" s="83"/>
      <c r="BJ64" s="83"/>
      <c r="BK64" s="56"/>
    </row>
    <row r="65" spans="28:63">
      <c r="AT65" s="248">
        <v>134.66666666666669</v>
      </c>
      <c r="AU65" s="216">
        <v>0.42390843577787196</v>
      </c>
      <c r="AV65" s="216">
        <v>0.19923696481559983</v>
      </c>
      <c r="AW65" s="216">
        <v>0.37685459940652821</v>
      </c>
      <c r="AX65" s="216">
        <v>130.16</v>
      </c>
      <c r="AY65" s="140">
        <v>0.34720003867538729</v>
      </c>
      <c r="AZ65" s="243">
        <f t="shared" ref="AZ65:AZ78" si="7">1-AY65</f>
        <v>0.65279996132461271</v>
      </c>
      <c r="BA65" s="241">
        <v>0.52746843688890843</v>
      </c>
      <c r="BB65" s="241">
        <v>0.31976115336472843</v>
      </c>
      <c r="BC65" s="246">
        <f>BA65*AZ65</f>
        <v>0.34433137520103335</v>
      </c>
      <c r="BD65" s="240"/>
      <c r="BE65" s="240"/>
      <c r="BF65" s="83"/>
      <c r="BG65" s="174"/>
      <c r="BH65" s="83"/>
      <c r="BI65" s="83"/>
      <c r="BJ65" s="83"/>
      <c r="BK65" s="56"/>
    </row>
    <row r="66" spans="28:63">
      <c r="AT66" s="174"/>
      <c r="AU66" s="216">
        <v>0.45392646391284608</v>
      </c>
      <c r="AV66" s="216">
        <v>0.1693145710394916</v>
      </c>
      <c r="AW66" s="216">
        <v>0.37675896504766226</v>
      </c>
      <c r="AX66" s="216">
        <v>131.09333333333333</v>
      </c>
      <c r="AY66" s="140">
        <v>0.34482637033034785</v>
      </c>
      <c r="AZ66" s="243">
        <f t="shared" si="7"/>
        <v>0.6551736296696522</v>
      </c>
      <c r="BA66" s="241">
        <v>0.56253188891860884</v>
      </c>
      <c r="BB66" s="241">
        <v>0.31721412851042335</v>
      </c>
      <c r="BC66" s="246">
        <f>BA66*AZ66</f>
        <v>0.36855605946773057</v>
      </c>
      <c r="BD66" s="240"/>
      <c r="BE66" s="240"/>
      <c r="BF66" s="83"/>
      <c r="BG66" s="174"/>
      <c r="BH66" s="83"/>
      <c r="BI66" s="83"/>
      <c r="BJ66" s="83"/>
      <c r="BK66" s="56"/>
    </row>
    <row r="67" spans="28:63">
      <c r="AT67" s="174"/>
      <c r="AU67" s="219">
        <v>0.45372050816696918</v>
      </c>
      <c r="AV67" s="219">
        <v>0.19918330308529944</v>
      </c>
      <c r="AW67" s="219">
        <v>0.3470961887477314</v>
      </c>
      <c r="AX67" s="219">
        <v>131.49333333333334</v>
      </c>
      <c r="AY67" s="140">
        <v>0.32189526844113597</v>
      </c>
      <c r="AZ67" s="243">
        <f t="shared" si="7"/>
        <v>0.67810473155886397</v>
      </c>
      <c r="BA67" s="241">
        <v>0.54342120395432714</v>
      </c>
      <c r="BB67" s="241">
        <v>0.29428456752433269</v>
      </c>
      <c r="BC67" s="246">
        <f>BA67*AZ67</f>
        <v>0.36849648963084369</v>
      </c>
      <c r="BD67" s="240"/>
      <c r="BE67" s="240"/>
      <c r="BF67" s="83"/>
      <c r="BG67" s="174"/>
      <c r="BH67" s="83"/>
      <c r="BI67" s="83"/>
      <c r="BJ67" s="83"/>
      <c r="BK67" s="56"/>
    </row>
    <row r="68" spans="28:63">
      <c r="AT68" s="56"/>
      <c r="AU68" s="225">
        <v>0.48447478528958382</v>
      </c>
      <c r="AV68" s="225">
        <v>0.19951552521471044</v>
      </c>
      <c r="AW68" s="225">
        <v>0.31490861043822949</v>
      </c>
      <c r="AX68" s="225">
        <v>132.02666666666667</v>
      </c>
      <c r="AY68" s="140">
        <v>0.29454643422405358</v>
      </c>
      <c r="AZ68" s="243">
        <f t="shared" si="7"/>
        <v>0.70545356577594642</v>
      </c>
      <c r="BA68" s="241">
        <v>0.55856166329815216</v>
      </c>
      <c r="BB68" s="241">
        <v>0.26675413378132928</v>
      </c>
      <c r="BC68" s="246">
        <f>BA68*AZ68</f>
        <v>0.39403931707942502</v>
      </c>
      <c r="BD68" s="240"/>
      <c r="BE68" s="240"/>
      <c r="BF68" s="83"/>
      <c r="BG68" s="174"/>
      <c r="BH68" s="83"/>
      <c r="BI68" s="83"/>
      <c r="BJ68" s="83"/>
      <c r="BK68" s="56"/>
    </row>
    <row r="69" spans="28:63">
      <c r="AT69" s="253"/>
      <c r="AU69" s="216">
        <v>0.4533091568449682</v>
      </c>
      <c r="AV69" s="216">
        <v>0.13871260199456029</v>
      </c>
      <c r="AW69" s="216">
        <v>0.40797824116047138</v>
      </c>
      <c r="AX69" s="216">
        <v>132.48000000000002</v>
      </c>
      <c r="AY69" s="140">
        <v>0.36902466379497156</v>
      </c>
      <c r="AZ69" s="243">
        <f t="shared" si="7"/>
        <v>0.63097533620502844</v>
      </c>
      <c r="BA69" s="241">
        <v>0.58313792558127309</v>
      </c>
      <c r="BB69" s="241">
        <v>0.34141559127621851</v>
      </c>
      <c r="BC69" s="246">
        <f>BA69*AZ69</f>
        <v>0.36794564864754664</v>
      </c>
      <c r="BD69" s="240"/>
      <c r="BE69" s="240"/>
      <c r="BF69" s="83"/>
      <c r="BG69" s="174"/>
      <c r="BH69" s="83"/>
      <c r="BI69" s="83"/>
      <c r="BJ69" s="83"/>
      <c r="BK69" s="56"/>
    </row>
    <row r="70" spans="28:63">
      <c r="AU70" s="227">
        <v>0.61085972850678727</v>
      </c>
      <c r="AV70" s="227">
        <v>0</v>
      </c>
      <c r="AW70" s="227">
        <v>0.38914027149321262</v>
      </c>
      <c r="AX70" s="227">
        <v>133.14666666666668</v>
      </c>
      <c r="AY70" s="244">
        <v>0.34238319373504122</v>
      </c>
      <c r="AZ70" s="245">
        <f t="shared" si="7"/>
        <v>0.65761680626495878</v>
      </c>
      <c r="BA70" s="242">
        <v>0.75295277138654582</v>
      </c>
      <c r="BB70" s="242">
        <v>0.31386306587748147</v>
      </c>
      <c r="BC70" s="252" t="e">
        <f>#REF!</f>
        <v>#REF!</v>
      </c>
      <c r="BD70" s="240"/>
      <c r="BE70" s="240"/>
      <c r="BF70" s="83"/>
      <c r="BG70" s="174"/>
      <c r="BH70" s="83"/>
      <c r="BI70" s="83"/>
      <c r="BJ70" s="83"/>
      <c r="BK70" s="56"/>
    </row>
    <row r="71" spans="28:63">
      <c r="AT71" s="174"/>
      <c r="AU71" s="216">
        <v>0.48479506390480392</v>
      </c>
      <c r="AV71" s="216">
        <v>0.16923754958131337</v>
      </c>
      <c r="AW71" s="216">
        <v>0.34596738651388281</v>
      </c>
      <c r="AX71" s="216">
        <v>133.65333333333334</v>
      </c>
      <c r="AY71" s="140">
        <v>0.31864144623286517</v>
      </c>
      <c r="AZ71" s="243">
        <f t="shared" si="7"/>
        <v>0.68135855376713483</v>
      </c>
      <c r="BA71" s="241">
        <v>0.57763635880680286</v>
      </c>
      <c r="BB71" s="241">
        <v>0.29085126239152748</v>
      </c>
      <c r="BC71" s="246">
        <f>BA71*AZ71</f>
        <v>0.393577474039917</v>
      </c>
      <c r="BD71" s="240"/>
      <c r="BE71" s="240"/>
      <c r="BF71" s="83"/>
      <c r="BG71" s="174"/>
      <c r="BH71" s="83"/>
      <c r="BI71" s="83"/>
      <c r="BJ71" s="83"/>
      <c r="BK71" s="56"/>
    </row>
    <row r="72" spans="28:63" ht="15.75" thickBot="1">
      <c r="AU72" s="227">
        <v>0.59734513274336276</v>
      </c>
      <c r="AV72" s="227">
        <v>0</v>
      </c>
      <c r="AW72" s="227">
        <v>0.40265486725663713</v>
      </c>
      <c r="AX72" s="227">
        <v>133.81333333333333</v>
      </c>
      <c r="AY72" s="244">
        <v>0.35387325156289595</v>
      </c>
      <c r="AZ72" s="245">
        <f t="shared" si="7"/>
        <v>0.64612674843710405</v>
      </c>
      <c r="BA72" s="242">
        <v>0.74938810217856811</v>
      </c>
      <c r="BB72" s="242">
        <v>0.32543108998437797</v>
      </c>
      <c r="BC72" s="247">
        <v>0.48677921271080815</v>
      </c>
      <c r="BD72" s="240"/>
      <c r="BE72" s="240"/>
      <c r="BF72" s="83"/>
      <c r="BG72" s="174"/>
      <c r="BH72" s="83"/>
      <c r="BI72" s="83"/>
      <c r="BJ72" s="83"/>
      <c r="BK72" s="56"/>
    </row>
    <row r="73" spans="28:63" ht="15.75" thickBot="1">
      <c r="AU73" s="222">
        <v>0.42337002540220159</v>
      </c>
      <c r="AV73" s="222">
        <v>0.1384419983065199</v>
      </c>
      <c r="AW73" s="222">
        <v>0.43818797629127859</v>
      </c>
      <c r="AX73" s="222">
        <v>134.69333333333336</v>
      </c>
      <c r="AY73" s="140">
        <v>0.39468826798077178</v>
      </c>
      <c r="AZ73" s="243">
        <f t="shared" si="7"/>
        <v>0.60531173201922828</v>
      </c>
      <c r="BA73" s="241">
        <v>0.5677676230218065</v>
      </c>
      <c r="BB73" s="241">
        <v>0.36725178047191565</v>
      </c>
      <c r="BC73" s="246">
        <f>BA73*AZ73</f>
        <v>0.34367640327576998</v>
      </c>
      <c r="BD73" s="56"/>
      <c r="BE73" s="56"/>
      <c r="BF73" s="56"/>
      <c r="BG73" s="56"/>
      <c r="BH73" s="56"/>
      <c r="BI73" s="56"/>
      <c r="BJ73" s="56"/>
      <c r="BK73" s="56"/>
    </row>
    <row r="74" spans="28:63">
      <c r="AT74" s="12"/>
      <c r="AU74" s="227">
        <v>0.56657223796033995</v>
      </c>
      <c r="AV74" s="227">
        <v>0</v>
      </c>
      <c r="AW74" s="227">
        <v>0.43342776203966005</v>
      </c>
      <c r="AX74" s="227">
        <v>135.22666666666669</v>
      </c>
      <c r="AY74" s="244">
        <v>0.38003625275209435</v>
      </c>
      <c r="AZ74" s="245">
        <f t="shared" si="7"/>
        <v>0.61996374724790559</v>
      </c>
      <c r="BA74" s="242">
        <v>0.74077833774877022</v>
      </c>
      <c r="BB74" s="242">
        <v>0.35177161802683821</v>
      </c>
      <c r="BC74" s="247">
        <v>0.46167408483593442</v>
      </c>
      <c r="BD74" s="56"/>
      <c r="BE74" s="56"/>
      <c r="BF74" s="56"/>
      <c r="BG74" s="56"/>
      <c r="BH74" s="56"/>
      <c r="BI74" s="56"/>
      <c r="BJ74" s="56"/>
      <c r="BK74" s="56"/>
    </row>
    <row r="75" spans="28:63" ht="15.75" thickBot="1">
      <c r="AT75" s="126"/>
      <c r="AU75" s="219">
        <v>0.42390843577787196</v>
      </c>
      <c r="AV75" s="219">
        <v>0.16913946587537093</v>
      </c>
      <c r="AW75" s="219">
        <v>0.40695209834675711</v>
      </c>
      <c r="AX75" s="219">
        <v>135.62666666666669</v>
      </c>
      <c r="AY75" s="140">
        <v>0.37048319634007487</v>
      </c>
      <c r="AZ75" s="243">
        <f t="shared" si="7"/>
        <v>0.62951680365992513</v>
      </c>
      <c r="BA75" s="241">
        <v>0.54680540434311609</v>
      </c>
      <c r="BB75" s="241">
        <v>0.34304397478921717</v>
      </c>
      <c r="BC75" s="140">
        <f>BA75*AZ75</f>
        <v>0.34422319036605137</v>
      </c>
      <c r="BD75" s="56"/>
      <c r="BE75" s="56"/>
      <c r="BF75" s="56"/>
      <c r="BG75" s="56"/>
      <c r="BH75" s="56"/>
      <c r="BI75" s="56"/>
      <c r="BJ75" s="56"/>
      <c r="BK75" s="56"/>
    </row>
    <row r="76" spans="28:63" ht="15.75" thickBot="1">
      <c r="AU76" s="234">
        <v>0.5524861878453039</v>
      </c>
      <c r="AV76" s="234">
        <v>0</v>
      </c>
      <c r="AW76" s="234">
        <v>0.44751381215469616</v>
      </c>
      <c r="AX76" s="234">
        <v>135.76000000000002</v>
      </c>
      <c r="AY76" s="244">
        <v>0.39201216204690681</v>
      </c>
      <c r="AZ76" s="245">
        <f t="shared" si="7"/>
        <v>0.60798783795309319</v>
      </c>
      <c r="BA76" s="242">
        <v>0.73659006348867362</v>
      </c>
      <c r="BB76" s="242">
        <v>0.36382878719076445</v>
      </c>
      <c r="BC76" s="244">
        <v>0.45018264244560424</v>
      </c>
      <c r="BD76" s="56"/>
      <c r="BE76" s="56"/>
      <c r="BF76" s="56"/>
      <c r="BG76" s="56"/>
      <c r="BH76" s="56"/>
      <c r="BI76" s="56"/>
      <c r="BJ76" s="56"/>
      <c r="BK76" s="56"/>
    </row>
    <row r="77" spans="28:63">
      <c r="AU77" s="225">
        <v>0.48447478528958382</v>
      </c>
      <c r="AV77" s="225">
        <v>0.13895617705351243</v>
      </c>
      <c r="AW77" s="225">
        <v>0.3765690376569038</v>
      </c>
      <c r="AX77" s="225">
        <v>136.08000000000001</v>
      </c>
      <c r="AY77" s="140">
        <v>0.34233921511046433</v>
      </c>
      <c r="AZ77" s="243">
        <f t="shared" si="7"/>
        <v>0.65766078488953572</v>
      </c>
      <c r="BA77" s="241">
        <v>0.5978902457411267</v>
      </c>
      <c r="BB77" s="241">
        <v>0.3145504720942503</v>
      </c>
      <c r="BC77" s="140">
        <f>BA77*AZ77</f>
        <v>0.39320896829190677</v>
      </c>
      <c r="BD77" s="56"/>
      <c r="BE77" s="56"/>
      <c r="BF77" s="56"/>
      <c r="BG77" s="56"/>
      <c r="BH77" s="56"/>
      <c r="BI77" s="56"/>
      <c r="BJ77" s="56"/>
      <c r="BK77" s="56"/>
    </row>
    <row r="78" spans="28:63">
      <c r="AU78" s="227">
        <v>0.5818965517241379</v>
      </c>
      <c r="AV78" s="227">
        <v>0</v>
      </c>
      <c r="AW78" s="227">
        <v>0.41810344827586204</v>
      </c>
      <c r="AX78" s="227">
        <v>136.66666666666666</v>
      </c>
      <c r="AY78" s="244">
        <v>0.36700757734423034</v>
      </c>
      <c r="AZ78" s="245">
        <f t="shared" si="7"/>
        <v>0.63299242265576972</v>
      </c>
      <c r="BA78" s="242">
        <v>0.74515480021471081</v>
      </c>
      <c r="BB78" s="242">
        <v>0.33865453823070957</v>
      </c>
      <c r="BC78" s="244">
        <v>0.4741758754322335</v>
      </c>
      <c r="BD78" s="56"/>
      <c r="BE78" s="56"/>
      <c r="BF78" s="56"/>
      <c r="BG78" s="56"/>
      <c r="BH78" s="56"/>
      <c r="BI78" s="56"/>
      <c r="BJ78" s="56"/>
      <c r="BK78" s="56"/>
    </row>
    <row r="79" spans="28:63" ht="15.75" thickBot="1"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</row>
    <row r="80" spans="28:63" ht="15.75" thickBot="1">
      <c r="AB80" s="173" t="e">
        <f>#REF!</f>
        <v>#REF!</v>
      </c>
      <c r="AD80" s="89" t="s">
        <v>42</v>
      </c>
      <c r="AE80" s="16" t="s">
        <v>28</v>
      </c>
      <c r="AF80" s="12"/>
      <c r="AH80" s="10" t="s">
        <v>20</v>
      </c>
      <c r="AI80" s="34" t="s">
        <v>33</v>
      </c>
      <c r="AJ80" s="34" t="s">
        <v>34</v>
      </c>
      <c r="AL80" s="234">
        <v>0.5818965517241379</v>
      </c>
      <c r="AM80" s="234">
        <v>0</v>
      </c>
      <c r="AN80" s="234">
        <v>0.41810344827586204</v>
      </c>
      <c r="AP80" s="234">
        <v>136.66666666666666</v>
      </c>
      <c r="AR80" s="141">
        <v>0.36700757734423034</v>
      </c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</row>
    <row r="81" spans="7:63">
      <c r="J81" s="89" t="s">
        <v>42</v>
      </c>
      <c r="K81" s="16" t="s">
        <v>28</v>
      </c>
      <c r="L81" s="12"/>
      <c r="M81" s="10" t="s">
        <v>20</v>
      </c>
      <c r="N81" s="34" t="s">
        <v>33</v>
      </c>
      <c r="O81" s="34" t="s">
        <v>34</v>
      </c>
      <c r="Q81" s="219">
        <v>0.45372050816696918</v>
      </c>
      <c r="R81" s="219">
        <v>0.19918330308529944</v>
      </c>
      <c r="S81" s="219">
        <v>0.3470961887477314</v>
      </c>
      <c r="U81" s="219">
        <v>131.49333333333334</v>
      </c>
      <c r="AD81" s="16" t="s">
        <v>31</v>
      </c>
      <c r="AE81" s="143">
        <v>0.74515480021471081</v>
      </c>
      <c r="AF81" s="12"/>
      <c r="AH81" s="16">
        <v>2</v>
      </c>
      <c r="AI81" s="137">
        <v>470</v>
      </c>
      <c r="AJ81" s="138">
        <v>0</v>
      </c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</row>
    <row r="82" spans="7:63">
      <c r="G82" s="141">
        <v>0.32189526844113597</v>
      </c>
      <c r="H82" s="173"/>
      <c r="J82" s="16" t="s">
        <v>31</v>
      </c>
      <c r="K82" s="143">
        <v>0.54342120395432714</v>
      </c>
      <c r="L82" s="12"/>
      <c r="M82" s="16"/>
      <c r="N82" s="137">
        <v>470</v>
      </c>
      <c r="O82" s="138">
        <v>0</v>
      </c>
      <c r="AD82" s="16" t="s">
        <v>32</v>
      </c>
      <c r="AE82" s="143">
        <v>0.33865453823070957</v>
      </c>
      <c r="AF82" s="12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</row>
    <row r="83" spans="7:63">
      <c r="J83" s="16" t="s">
        <v>32</v>
      </c>
      <c r="K83" s="143">
        <v>0.29428456752433269</v>
      </c>
      <c r="L83" s="12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</row>
    <row r="84" spans="7:63"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</row>
    <row r="85" spans="7:63"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</row>
    <row r="86" spans="7:63"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</row>
    <row r="87" spans="7:63"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</row>
    <row r="88" spans="7:63"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</row>
    <row r="89" spans="7:63"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</row>
    <row r="90" spans="7:63"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</row>
    <row r="91" spans="7:63"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</row>
    <row r="92" spans="7:63"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</row>
    <row r="93" spans="7:63"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</row>
    <row r="94" spans="7:63"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</row>
    <row r="95" spans="7:63"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</row>
    <row r="96" spans="7:63"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</row>
    <row r="97" spans="7:63"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</row>
    <row r="98" spans="7:63"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</row>
    <row r="99" spans="7:63"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</row>
    <row r="100" spans="7:63"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</row>
    <row r="101" spans="7:63"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</row>
    <row r="102" spans="7:63"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</row>
    <row r="103" spans="7:63"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</row>
    <row r="104" spans="7:63"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</row>
    <row r="105" spans="7:63"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</row>
    <row r="106" spans="7:63"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</row>
    <row r="107" spans="7:63"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</row>
    <row r="108" spans="7:63">
      <c r="G108" s="141">
        <v>0.34482637033034785</v>
      </c>
      <c r="H108" s="173"/>
      <c r="J108" s="89" t="s">
        <v>42</v>
      </c>
      <c r="K108" s="16" t="s">
        <v>28</v>
      </c>
      <c r="L108" s="12"/>
      <c r="M108" s="10" t="s">
        <v>20</v>
      </c>
      <c r="N108" s="34" t="s">
        <v>33</v>
      </c>
      <c r="O108" s="34" t="s">
        <v>34</v>
      </c>
      <c r="Q108" s="225">
        <v>0.45392646391284608</v>
      </c>
      <c r="R108" s="225">
        <v>0.1693145710394916</v>
      </c>
      <c r="S108" s="225">
        <v>0.37675896504766226</v>
      </c>
      <c r="U108" s="225">
        <v>131.09333333333333</v>
      </c>
      <c r="AB108" s="173" t="e">
        <f>#REF!</f>
        <v>#REF!</v>
      </c>
      <c r="AD108" s="89" t="s">
        <v>42</v>
      </c>
      <c r="AE108" s="16" t="s">
        <v>28</v>
      </c>
      <c r="AF108" s="12"/>
      <c r="AH108" s="10" t="s">
        <v>20</v>
      </c>
      <c r="AI108" s="34" t="s">
        <v>33</v>
      </c>
      <c r="AJ108" s="34" t="s">
        <v>34</v>
      </c>
      <c r="AL108" s="237">
        <v>0.56657223796033995</v>
      </c>
      <c r="AM108" s="237">
        <v>0</v>
      </c>
      <c r="AN108" s="237">
        <v>0.43342776203966005</v>
      </c>
      <c r="AP108" s="237">
        <v>135.22666666666669</v>
      </c>
      <c r="AR108" s="141">
        <v>0.38003625275209435</v>
      </c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</row>
    <row r="109" spans="7:63">
      <c r="J109" s="16" t="s">
        <v>31</v>
      </c>
      <c r="K109" s="143">
        <v>0.56253188891860884</v>
      </c>
      <c r="L109" s="12"/>
      <c r="M109" s="16">
        <v>2</v>
      </c>
      <c r="N109" s="137">
        <v>470</v>
      </c>
      <c r="O109" s="138">
        <v>0</v>
      </c>
      <c r="AD109" s="16" t="s">
        <v>31</v>
      </c>
      <c r="AE109" s="143">
        <v>0.74077833774877022</v>
      </c>
      <c r="AF109" s="12"/>
      <c r="AH109" s="16">
        <v>2</v>
      </c>
      <c r="AI109" s="137">
        <v>470</v>
      </c>
      <c r="AJ109" s="138">
        <v>0</v>
      </c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</row>
    <row r="110" spans="7:63">
      <c r="J110" s="16" t="s">
        <v>32</v>
      </c>
      <c r="K110" s="143">
        <v>0.31721412851042335</v>
      </c>
      <c r="L110" s="12"/>
      <c r="AD110" s="16" t="s">
        <v>32</v>
      </c>
      <c r="AE110" s="143">
        <v>0.35177161802683821</v>
      </c>
      <c r="AF110" s="12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</row>
    <row r="111" spans="7:63"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</row>
    <row r="112" spans="7:63"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</row>
    <row r="113" spans="53:63"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</row>
    <row r="114" spans="53:63"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</row>
    <row r="115" spans="53:63"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</row>
    <row r="116" spans="53:63"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</row>
    <row r="117" spans="53:63"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</row>
    <row r="118" spans="53:63"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</row>
    <row r="119" spans="53:63"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</row>
    <row r="120" spans="53:63"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</row>
    <row r="121" spans="53:63"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</row>
    <row r="122" spans="53:63"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</row>
    <row r="123" spans="53:63"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</row>
    <row r="124" spans="53:63"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</row>
    <row r="125" spans="53:63"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</row>
    <row r="126" spans="53:63"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</row>
    <row r="127" spans="53:63"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</row>
    <row r="128" spans="53:63"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</row>
    <row r="129" spans="7:63"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</row>
    <row r="130" spans="7:63"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</row>
    <row r="131" spans="7:63"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</row>
    <row r="132" spans="7:63">
      <c r="AU132" s="240"/>
      <c r="AV132" s="240"/>
      <c r="AW132" s="240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</row>
    <row r="133" spans="7:63">
      <c r="AU133" s="240"/>
      <c r="AV133" s="240"/>
      <c r="AW133" s="240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</row>
    <row r="134" spans="7:63">
      <c r="G134" s="141">
        <v>0.34720003867538729</v>
      </c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</row>
    <row r="135" spans="7:63">
      <c r="H135" s="173"/>
      <c r="J135" s="89" t="s">
        <v>42</v>
      </c>
      <c r="K135" s="16" t="s">
        <v>28</v>
      </c>
      <c r="L135" s="12"/>
      <c r="M135" s="10" t="s">
        <v>20</v>
      </c>
      <c r="N135" s="34" t="s">
        <v>33</v>
      </c>
      <c r="O135" s="34" t="s">
        <v>34</v>
      </c>
      <c r="Q135" s="216">
        <v>0.42390843577787196</v>
      </c>
      <c r="R135" s="216">
        <v>0.19923696481559983</v>
      </c>
      <c r="S135" s="216">
        <v>0.37685459940652821</v>
      </c>
      <c r="U135" s="216">
        <v>130.16</v>
      </c>
      <c r="AB135" s="173" t="e">
        <f>#REF!</f>
        <v>#REF!</v>
      </c>
      <c r="AD135" s="89" t="s">
        <v>42</v>
      </c>
      <c r="AE135" s="16" t="s">
        <v>28</v>
      </c>
      <c r="AF135" s="12"/>
      <c r="AH135" s="10" t="s">
        <v>20</v>
      </c>
      <c r="AI135" s="34" t="s">
        <v>33</v>
      </c>
      <c r="AJ135" s="34" t="s">
        <v>34</v>
      </c>
      <c r="AL135" s="227">
        <v>0.5524861878453039</v>
      </c>
      <c r="AM135" s="227">
        <v>0</v>
      </c>
      <c r="AN135" s="227">
        <v>0.44751381215469616</v>
      </c>
      <c r="AP135" s="227">
        <v>135.76000000000002</v>
      </c>
      <c r="AR135" s="141">
        <v>0.39201216204690681</v>
      </c>
      <c r="AU135" s="240"/>
      <c r="AV135" s="240"/>
      <c r="AW135" s="240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</row>
    <row r="136" spans="7:63">
      <c r="J136" s="16" t="s">
        <v>31</v>
      </c>
      <c r="K136" s="143">
        <v>0.52746843688890843</v>
      </c>
      <c r="L136" s="12"/>
      <c r="M136" s="16"/>
      <c r="N136" s="137">
        <v>470</v>
      </c>
      <c r="O136" s="138">
        <v>0</v>
      </c>
      <c r="AD136" s="16" t="s">
        <v>31</v>
      </c>
      <c r="AE136" s="143">
        <v>0.73659006348867362</v>
      </c>
      <c r="AF136" s="12"/>
      <c r="AH136" s="16">
        <v>2</v>
      </c>
      <c r="AI136" s="137">
        <v>470</v>
      </c>
      <c r="AJ136" s="138">
        <v>0</v>
      </c>
      <c r="AU136" s="240"/>
      <c r="AV136" s="240"/>
      <c r="AW136" s="240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</row>
    <row r="137" spans="7:63">
      <c r="J137" s="16" t="s">
        <v>32</v>
      </c>
      <c r="K137" s="143">
        <v>0.31976115336472843</v>
      </c>
      <c r="L137" s="12"/>
      <c r="AD137" s="16" t="s">
        <v>32</v>
      </c>
      <c r="AE137" s="143">
        <v>0.36382878719076445</v>
      </c>
      <c r="AF137" s="12"/>
      <c r="AU137" s="56"/>
      <c r="AV137" s="56"/>
      <c r="AW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</row>
    <row r="138" spans="7:63"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</row>
    <row r="139" spans="7:63"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</row>
    <row r="140" spans="7:63"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</row>
    <row r="160" spans="6:6">
      <c r="F160" s="141">
        <v>0.36902466379497156</v>
      </c>
    </row>
    <row r="162" spans="8:21">
      <c r="H162" s="173"/>
      <c r="J162" s="89" t="s">
        <v>42</v>
      </c>
      <c r="K162" s="16" t="s">
        <v>28</v>
      </c>
      <c r="L162" s="12"/>
      <c r="M162" s="10" t="s">
        <v>20</v>
      </c>
      <c r="N162" s="34" t="s">
        <v>33</v>
      </c>
      <c r="O162" s="34" t="s">
        <v>34</v>
      </c>
      <c r="Q162" s="216">
        <v>0.4533091568449682</v>
      </c>
      <c r="R162" s="216">
        <v>0.13871260199456029</v>
      </c>
      <c r="S162" s="216">
        <v>0.40797824116047138</v>
      </c>
      <c r="U162" s="216">
        <v>132.48000000000002</v>
      </c>
    </row>
    <row r="163" spans="8:21">
      <c r="J163" s="16" t="s">
        <v>31</v>
      </c>
      <c r="K163" s="143">
        <v>0.58313792558127309</v>
      </c>
      <c r="L163" s="12"/>
      <c r="M163" s="16">
        <v>2</v>
      </c>
      <c r="N163" s="137">
        <v>470</v>
      </c>
      <c r="O163" s="138">
        <v>0</v>
      </c>
    </row>
    <row r="164" spans="8:21">
      <c r="J164" s="16" t="s">
        <v>32</v>
      </c>
      <c r="K164" s="143">
        <v>0.34141559127621851</v>
      </c>
      <c r="L164" s="12"/>
    </row>
    <row r="187" spans="5:21">
      <c r="E187" s="126"/>
      <c r="F187" s="126"/>
      <c r="G187" s="126"/>
    </row>
    <row r="188" spans="5:21">
      <c r="E188" s="83"/>
      <c r="F188" s="56"/>
      <c r="G188" s="83"/>
    </row>
    <row r="189" spans="5:21">
      <c r="E189" s="83"/>
      <c r="F189" s="174"/>
      <c r="G189" s="56"/>
      <c r="H189" s="173"/>
      <c r="J189" s="89" t="s">
        <v>42</v>
      </c>
      <c r="K189" s="16" t="s">
        <v>28</v>
      </c>
      <c r="L189" s="12"/>
      <c r="M189" s="10" t="s">
        <v>20</v>
      </c>
      <c r="N189" s="34" t="s">
        <v>33</v>
      </c>
      <c r="O189" s="34" t="s">
        <v>34</v>
      </c>
      <c r="Q189" s="216">
        <v>0.42390843577787196</v>
      </c>
      <c r="R189" s="216">
        <v>0.16913946587537093</v>
      </c>
      <c r="S189" s="216">
        <v>0.40695209834675711</v>
      </c>
      <c r="U189" s="216">
        <v>135.62666666666669</v>
      </c>
    </row>
    <row r="190" spans="5:21">
      <c r="E190" s="56"/>
      <c r="F190" s="174"/>
      <c r="G190" s="56"/>
      <c r="J190" s="16" t="s">
        <v>31</v>
      </c>
      <c r="K190" s="143">
        <v>0.54680540434311609</v>
      </c>
      <c r="L190" s="12"/>
      <c r="M190" s="16">
        <v>2</v>
      </c>
      <c r="N190" s="137">
        <v>470</v>
      </c>
      <c r="O190" s="138">
        <v>0</v>
      </c>
    </row>
    <row r="191" spans="5:21">
      <c r="F191" s="173"/>
      <c r="J191" s="16" t="s">
        <v>32</v>
      </c>
      <c r="K191" s="143">
        <v>0.34304397478921717</v>
      </c>
      <c r="L191" s="12"/>
    </row>
    <row r="212" spans="3:21">
      <c r="C212" s="56"/>
      <c r="D212" s="56"/>
      <c r="E212" s="56"/>
      <c r="F212" s="56"/>
      <c r="G212" s="56"/>
    </row>
    <row r="213" spans="3:21">
      <c r="C213" s="56"/>
      <c r="D213" s="83"/>
      <c r="E213" s="56"/>
      <c r="F213" s="56"/>
      <c r="G213" s="56"/>
    </row>
    <row r="214" spans="3:21">
      <c r="C214" s="56"/>
      <c r="D214" s="83"/>
      <c r="E214" s="56"/>
      <c r="F214" s="56"/>
      <c r="G214" s="56"/>
    </row>
    <row r="215" spans="3:21">
      <c r="C215" s="56"/>
      <c r="D215" s="56"/>
      <c r="E215" s="56"/>
      <c r="F215" s="56"/>
      <c r="G215" s="56"/>
    </row>
    <row r="216" spans="3:21">
      <c r="C216" s="56"/>
      <c r="D216" s="56"/>
      <c r="E216" s="56"/>
      <c r="F216" s="56"/>
      <c r="G216" s="83"/>
      <c r="H216" s="142"/>
      <c r="J216" s="89" t="s">
        <v>42</v>
      </c>
      <c r="K216" s="16" t="s">
        <v>28</v>
      </c>
      <c r="L216" s="12"/>
      <c r="M216" s="10" t="s">
        <v>20</v>
      </c>
      <c r="N216" s="34" t="s">
        <v>33</v>
      </c>
      <c r="O216" s="34" t="s">
        <v>34</v>
      </c>
      <c r="Q216" s="216">
        <v>0.42337002540220159</v>
      </c>
      <c r="R216" s="216">
        <v>0.1384419983065199</v>
      </c>
      <c r="S216" s="216">
        <v>0.43818797629127859</v>
      </c>
      <c r="U216" s="216">
        <v>134.69333333333336</v>
      </c>
    </row>
    <row r="217" spans="3:21">
      <c r="C217" s="56"/>
      <c r="D217" s="56"/>
      <c r="E217" s="56"/>
      <c r="F217" s="56"/>
      <c r="G217" s="56"/>
      <c r="J217" s="16" t="s">
        <v>31</v>
      </c>
      <c r="K217" s="143">
        <v>0.5677676230218065</v>
      </c>
      <c r="L217" s="12"/>
      <c r="M217" s="16">
        <v>2</v>
      </c>
      <c r="N217" s="137">
        <v>470</v>
      </c>
      <c r="O217" s="138">
        <v>0</v>
      </c>
    </row>
    <row r="218" spans="3:21">
      <c r="J218" s="16" t="s">
        <v>32</v>
      </c>
      <c r="K218" s="143">
        <v>0.36725178047191565</v>
      </c>
      <c r="L218" s="12"/>
    </row>
    <row r="236" spans="26:30">
      <c r="Z236" s="126"/>
      <c r="AA236" s="56"/>
      <c r="AB236" s="56"/>
      <c r="AC236" s="56"/>
      <c r="AD236" s="56"/>
    </row>
    <row r="237" spans="26:30">
      <c r="Z237" s="126"/>
      <c r="AA237" s="240"/>
      <c r="AB237" s="240"/>
      <c r="AC237" s="240"/>
      <c r="AD237" s="56"/>
    </row>
    <row r="238" spans="26:30">
      <c r="Z238" s="126"/>
      <c r="AA238" s="240"/>
      <c r="AB238" s="240"/>
      <c r="AC238" s="240"/>
      <c r="AD238" s="56"/>
    </row>
    <row r="239" spans="26:30">
      <c r="Z239" s="126"/>
      <c r="AA239" s="240"/>
      <c r="AB239" s="240"/>
      <c r="AC239" s="240"/>
      <c r="AD239" s="56"/>
    </row>
    <row r="240" spans="26:30">
      <c r="Z240" s="126"/>
      <c r="AA240" s="240"/>
      <c r="AB240" s="240"/>
      <c r="AC240" s="240"/>
      <c r="AD240" s="56"/>
    </row>
    <row r="241" spans="7:30">
      <c r="Z241" s="126"/>
      <c r="AA241" s="240"/>
      <c r="AB241" s="240"/>
      <c r="AC241" s="240"/>
      <c r="AD241" s="56"/>
    </row>
    <row r="242" spans="7:30" ht="15.75" thickBot="1">
      <c r="G242" s="141">
        <v>0.34233921511046433</v>
      </c>
      <c r="Z242" s="126"/>
      <c r="AA242" s="240"/>
      <c r="AB242" s="240"/>
      <c r="AC242" s="240"/>
      <c r="AD242" s="56"/>
    </row>
    <row r="243" spans="7:30" ht="15.75" thickBot="1">
      <c r="H243" s="173"/>
      <c r="J243" s="89" t="s">
        <v>42</v>
      </c>
      <c r="K243" s="16" t="s">
        <v>28</v>
      </c>
      <c r="L243" s="12"/>
      <c r="M243" s="10" t="s">
        <v>20</v>
      </c>
      <c r="N243" s="34" t="s">
        <v>33</v>
      </c>
      <c r="O243" s="34" t="s">
        <v>34</v>
      </c>
      <c r="Q243" s="222">
        <v>0.48447478528958382</v>
      </c>
      <c r="R243" s="222">
        <v>0.13895617705351243</v>
      </c>
      <c r="S243" s="222">
        <v>0.3765690376569038</v>
      </c>
      <c r="U243" s="222">
        <v>136.08000000000001</v>
      </c>
      <c r="Z243" s="126"/>
      <c r="AA243" s="240"/>
      <c r="AB243" s="240"/>
      <c r="AC243" s="240"/>
      <c r="AD243" s="240"/>
    </row>
    <row r="244" spans="7:30">
      <c r="J244" s="16" t="s">
        <v>31</v>
      </c>
      <c r="K244" s="143">
        <v>0.5978902457411267</v>
      </c>
      <c r="L244" s="12"/>
      <c r="M244" s="16">
        <v>2</v>
      </c>
      <c r="N244" s="137">
        <v>470</v>
      </c>
      <c r="O244" s="138">
        <v>0</v>
      </c>
      <c r="Z244" s="126"/>
      <c r="AA244" s="240"/>
      <c r="AB244" s="240"/>
      <c r="AC244" s="240"/>
      <c r="AD244" s="56"/>
    </row>
    <row r="245" spans="7:30">
      <c r="J245" s="16" t="s">
        <v>32</v>
      </c>
      <c r="K245" s="143">
        <v>0.3145504720942503</v>
      </c>
      <c r="L245" s="12"/>
      <c r="Z245" s="126"/>
      <c r="AA245" s="240"/>
      <c r="AB245" s="240"/>
      <c r="AC245" s="240"/>
      <c r="AD245" s="56"/>
    </row>
    <row r="246" spans="7:30">
      <c r="Z246" s="126"/>
      <c r="AA246" s="240"/>
      <c r="AB246" s="240"/>
      <c r="AC246" s="240"/>
      <c r="AD246" s="56"/>
    </row>
    <row r="247" spans="7:30">
      <c r="Z247" s="126"/>
      <c r="AA247" s="126"/>
      <c r="AB247" s="126"/>
      <c r="AC247" s="126"/>
      <c r="AD247" s="126"/>
    </row>
  </sheetData>
  <sortState ref="AT65:BC78">
    <sortCondition ref="AX65:AX78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P60"/>
  <sheetViews>
    <sheetView workbookViewId="0">
      <selection activeCell="BN42" sqref="BN42"/>
    </sheetView>
  </sheetViews>
  <sheetFormatPr defaultRowHeight="15"/>
  <cols>
    <col min="2" max="2" width="10.42578125" customWidth="1"/>
    <col min="10" max="10" width="9.28515625" bestFit="1" customWidth="1"/>
    <col min="12" max="12" width="11.42578125" customWidth="1"/>
    <col min="14" max="14" width="11.140625" customWidth="1"/>
  </cols>
  <sheetData>
    <row r="2" spans="2:68" ht="15.75" thickBot="1">
      <c r="AB2" s="12"/>
    </row>
    <row r="3" spans="2:68" ht="15.75">
      <c r="C3" s="266"/>
      <c r="D3" s="266" t="s">
        <v>82</v>
      </c>
      <c r="E3" s="266"/>
      <c r="AD3" s="352"/>
      <c r="AE3" s="353"/>
      <c r="AF3" s="353"/>
      <c r="AG3" s="353"/>
      <c r="AH3" s="353"/>
      <c r="AI3" s="353"/>
      <c r="AJ3" s="353"/>
      <c r="AK3" s="353"/>
      <c r="AL3" s="353"/>
      <c r="AM3" s="353"/>
      <c r="AN3" s="353"/>
      <c r="AO3" s="353"/>
      <c r="AP3" s="353"/>
      <c r="AQ3" s="353"/>
      <c r="AR3" s="353"/>
      <c r="AS3" s="353"/>
      <c r="AT3" s="353"/>
      <c r="AU3" s="353"/>
      <c r="AV3" s="353"/>
      <c r="AW3" s="362"/>
      <c r="AX3" s="353"/>
      <c r="AY3" s="353"/>
      <c r="AZ3" s="353"/>
      <c r="BA3" s="353"/>
      <c r="BB3" s="353"/>
      <c r="BC3" s="353"/>
      <c r="BD3" s="353"/>
      <c r="BE3" s="353"/>
      <c r="BF3" s="353"/>
      <c r="BG3" s="353"/>
      <c r="BH3" s="353"/>
      <c r="BI3" s="353"/>
      <c r="BJ3" s="353"/>
      <c r="BK3" s="353"/>
      <c r="BL3" s="353"/>
      <c r="BM3" s="353"/>
      <c r="BN3" s="353"/>
      <c r="BO3" s="353"/>
      <c r="BP3" s="354"/>
    </row>
    <row r="4" spans="2:68" ht="21">
      <c r="D4" t="s">
        <v>83</v>
      </c>
      <c r="AD4" s="355"/>
      <c r="AE4" s="12"/>
      <c r="AF4" s="346" t="s">
        <v>175</v>
      </c>
      <c r="AG4" s="346"/>
      <c r="AH4" s="347"/>
      <c r="AI4" s="347"/>
      <c r="AJ4" s="347"/>
      <c r="AK4" s="347"/>
      <c r="AL4" s="347"/>
      <c r="AM4" s="12"/>
      <c r="AN4" s="348" t="s">
        <v>176</v>
      </c>
      <c r="AO4" s="348"/>
      <c r="AP4" s="349"/>
      <c r="AQ4" s="12"/>
      <c r="AR4" s="12"/>
      <c r="AS4" s="12"/>
      <c r="AT4" s="12"/>
      <c r="AU4" s="12"/>
      <c r="AV4" s="12"/>
      <c r="AW4" s="363"/>
      <c r="AX4" s="12"/>
      <c r="AY4" s="12"/>
      <c r="AZ4" s="12"/>
      <c r="BA4" s="12"/>
      <c r="BB4" s="12"/>
      <c r="BC4" s="348" t="s">
        <v>177</v>
      </c>
      <c r="BD4" s="348"/>
      <c r="BE4" s="349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356"/>
    </row>
    <row r="5" spans="2:68" ht="19.5" customHeight="1">
      <c r="D5" t="s">
        <v>84</v>
      </c>
      <c r="AD5" s="355"/>
      <c r="AE5" s="12"/>
      <c r="AF5" s="12"/>
      <c r="AG5" s="12"/>
      <c r="AH5" s="12"/>
      <c r="AI5" s="12"/>
      <c r="AJ5" s="350" t="s">
        <v>152</v>
      </c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363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356"/>
    </row>
    <row r="6" spans="2:68">
      <c r="D6" t="s">
        <v>85</v>
      </c>
      <c r="AD6" s="355"/>
      <c r="AE6" s="12"/>
      <c r="AF6" s="12"/>
      <c r="AG6" s="351" t="s">
        <v>147</v>
      </c>
      <c r="AH6" s="12"/>
      <c r="AI6" s="12"/>
      <c r="AJ6" s="12"/>
      <c r="AK6" s="12"/>
      <c r="AL6" s="12"/>
      <c r="AM6" s="12"/>
      <c r="AN6" s="9" t="s">
        <v>172</v>
      </c>
      <c r="AO6" s="30"/>
      <c r="AP6" s="30"/>
      <c r="AQ6" s="20"/>
      <c r="AR6" s="12"/>
      <c r="AS6" s="12"/>
      <c r="AT6" s="12"/>
      <c r="AU6" s="12"/>
      <c r="AV6" s="12"/>
      <c r="AW6" s="363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356"/>
    </row>
    <row r="7" spans="2:68">
      <c r="D7" t="s">
        <v>86</v>
      </c>
      <c r="AD7" s="355"/>
      <c r="AE7" s="12"/>
      <c r="AF7" s="12"/>
      <c r="AG7" s="12" t="s">
        <v>150</v>
      </c>
      <c r="AH7" s="12" t="s">
        <v>151</v>
      </c>
      <c r="AI7" s="12"/>
      <c r="AJ7" s="12"/>
      <c r="AK7" s="12" t="s">
        <v>153</v>
      </c>
      <c r="AL7" s="12"/>
      <c r="AM7" s="12"/>
      <c r="AN7" s="55" t="s">
        <v>165</v>
      </c>
      <c r="AO7" s="12"/>
      <c r="AP7" s="133"/>
      <c r="AQ7" s="12" t="s">
        <v>173</v>
      </c>
      <c r="AR7" s="12"/>
      <c r="AS7" s="12"/>
      <c r="AT7" s="12"/>
      <c r="AU7" s="12"/>
      <c r="AV7" s="12"/>
      <c r="AW7" s="363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356"/>
    </row>
    <row r="8" spans="2:68">
      <c r="D8" t="s">
        <v>87</v>
      </c>
      <c r="AD8" s="357"/>
      <c r="AE8" s="12"/>
      <c r="AF8" s="12"/>
      <c r="AG8" s="351" t="s">
        <v>149</v>
      </c>
      <c r="AH8" s="12"/>
      <c r="AI8" s="12"/>
      <c r="AJ8" s="12"/>
      <c r="AK8" s="12"/>
      <c r="AL8" s="12"/>
      <c r="AM8" s="12"/>
      <c r="AN8" s="98" t="s">
        <v>166</v>
      </c>
      <c r="AO8" s="132"/>
      <c r="AP8" s="134"/>
      <c r="AQ8" s="12" t="s">
        <v>174</v>
      </c>
      <c r="AR8" s="12"/>
      <c r="AS8" s="12"/>
      <c r="AT8" s="12"/>
      <c r="AU8" s="12"/>
      <c r="AV8" s="12"/>
      <c r="AW8" s="363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356"/>
    </row>
    <row r="9" spans="2:68">
      <c r="D9" t="s">
        <v>134</v>
      </c>
      <c r="AD9" s="355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363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356"/>
    </row>
    <row r="10" spans="2:68">
      <c r="D10" t="s">
        <v>88</v>
      </c>
      <c r="AD10" s="355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363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356"/>
    </row>
    <row r="11" spans="2:68">
      <c r="D11" t="s">
        <v>89</v>
      </c>
      <c r="AD11" s="355"/>
      <c r="AE11" s="16" t="s">
        <v>163</v>
      </c>
      <c r="AF11" s="16" t="s">
        <v>164</v>
      </c>
      <c r="AG11" s="345" t="s">
        <v>162</v>
      </c>
      <c r="AH11" s="345" t="s">
        <v>126</v>
      </c>
      <c r="AI11" s="16" t="s">
        <v>148</v>
      </c>
      <c r="AJ11" s="345" t="s">
        <v>154</v>
      </c>
      <c r="AK11" s="58"/>
      <c r="AL11" s="344" t="s">
        <v>155</v>
      </c>
      <c r="AM11" s="16" t="s">
        <v>157</v>
      </c>
      <c r="AN11" s="16" t="s">
        <v>167</v>
      </c>
      <c r="AO11" s="16" t="s">
        <v>168</v>
      </c>
      <c r="AP11" s="58"/>
      <c r="AQ11" s="337"/>
      <c r="AR11" s="58"/>
      <c r="AS11" s="12"/>
      <c r="AT11" s="12"/>
      <c r="AU11" s="12"/>
      <c r="AV11" s="12"/>
      <c r="AW11" s="363"/>
      <c r="AX11" s="12"/>
      <c r="AY11" s="16" t="s">
        <v>163</v>
      </c>
      <c r="AZ11" s="16" t="s">
        <v>164</v>
      </c>
      <c r="BA11" s="345" t="s">
        <v>162</v>
      </c>
      <c r="BB11" s="345" t="s">
        <v>126</v>
      </c>
      <c r="BC11" s="16" t="s">
        <v>148</v>
      </c>
      <c r="BD11" s="345" t="s">
        <v>154</v>
      </c>
      <c r="BE11" s="58"/>
      <c r="BF11" s="344" t="s">
        <v>155</v>
      </c>
      <c r="BG11" s="16" t="s">
        <v>157</v>
      </c>
      <c r="BH11" s="16" t="s">
        <v>167</v>
      </c>
      <c r="BI11" s="16" t="s">
        <v>168</v>
      </c>
      <c r="BJ11" s="58"/>
      <c r="BK11" s="337"/>
      <c r="BL11" s="58"/>
      <c r="BM11" s="12"/>
      <c r="BN11" s="12"/>
      <c r="BO11" s="12"/>
      <c r="BP11" s="356"/>
    </row>
    <row r="12" spans="2:68">
      <c r="D12" t="s">
        <v>91</v>
      </c>
      <c r="AD12" s="355"/>
      <c r="AE12" s="12">
        <f>(1-AO12)^1.3</f>
        <v>0.68876865498860407</v>
      </c>
      <c r="AF12" s="12">
        <f>0.7*(1-AN12)+0.3*(1-AN12)^12</f>
        <v>0.67413528672471656</v>
      </c>
      <c r="AG12" s="290" t="s">
        <v>156</v>
      </c>
      <c r="AH12" s="16">
        <v>38.1</v>
      </c>
      <c r="AI12" s="16">
        <v>1</v>
      </c>
      <c r="AJ12" s="16">
        <v>0.6</v>
      </c>
      <c r="AK12" s="58"/>
      <c r="AL12" s="88">
        <v>0.4</v>
      </c>
      <c r="AM12" s="16">
        <v>1</v>
      </c>
      <c r="AN12" s="16">
        <f>AH14/AH13</f>
        <v>0.12421052631578947</v>
      </c>
      <c r="AO12" s="16">
        <f>AH13/AH12</f>
        <v>0.24934383202099736</v>
      </c>
      <c r="AP12" s="58"/>
      <c r="AQ12" s="84"/>
      <c r="AR12" s="58"/>
      <c r="AS12" s="12"/>
      <c r="AT12" s="12"/>
      <c r="AU12" s="12"/>
      <c r="AV12" s="12"/>
      <c r="AW12" s="363"/>
      <c r="AX12" s="12"/>
      <c r="AY12" s="12">
        <f>(1-BI12)^1.3</f>
        <v>0.95992594871812065</v>
      </c>
      <c r="AZ12" s="12">
        <f>0.7*(1-BH12)+0.3*(1-BH12)^12</f>
        <v>0.8839859037248059</v>
      </c>
      <c r="BA12" s="290" t="s">
        <v>156</v>
      </c>
      <c r="BB12" s="16">
        <v>38.1</v>
      </c>
      <c r="BC12" s="16">
        <v>1</v>
      </c>
      <c r="BD12" s="16">
        <v>0.6</v>
      </c>
      <c r="BE12" s="58"/>
      <c r="BF12" s="88">
        <v>0.4</v>
      </c>
      <c r="BG12" s="16">
        <v>1</v>
      </c>
      <c r="BH12" s="16">
        <f>BB13/BB12</f>
        <v>3.0971128608923881E-2</v>
      </c>
      <c r="BI12" s="16">
        <f>BB13/BB12</f>
        <v>3.0971128608923881E-2</v>
      </c>
      <c r="BJ12" s="58"/>
      <c r="BK12" s="84"/>
      <c r="BL12" s="58"/>
      <c r="BM12" s="12"/>
      <c r="BN12" s="12"/>
      <c r="BO12" s="12"/>
      <c r="BP12" s="356"/>
    </row>
    <row r="13" spans="2:68">
      <c r="D13" t="s">
        <v>90</v>
      </c>
      <c r="AD13" s="355"/>
      <c r="AE13" s="12"/>
      <c r="AF13" s="12"/>
      <c r="AG13" s="170" t="s">
        <v>4</v>
      </c>
      <c r="AH13" s="16">
        <v>9.5</v>
      </c>
      <c r="AI13" s="16">
        <v>2</v>
      </c>
      <c r="AJ13" s="40">
        <v>0.62</v>
      </c>
      <c r="AK13" s="58"/>
      <c r="AL13" s="88">
        <v>0.15</v>
      </c>
      <c r="AM13" s="16">
        <v>2</v>
      </c>
      <c r="AN13" s="58"/>
      <c r="AO13" s="58"/>
      <c r="AP13" s="58"/>
      <c r="AQ13" s="84"/>
      <c r="AR13" s="58"/>
      <c r="AS13" s="12"/>
      <c r="AT13" s="12"/>
      <c r="AU13" s="12"/>
      <c r="AV13" s="12"/>
      <c r="AW13" s="363"/>
      <c r="AX13" s="12"/>
      <c r="AY13" s="12"/>
      <c r="AZ13" s="12"/>
      <c r="BA13" s="16" t="s">
        <v>73</v>
      </c>
      <c r="BB13" s="16">
        <v>1.18</v>
      </c>
      <c r="BC13" s="16">
        <v>2</v>
      </c>
      <c r="BD13" s="16">
        <v>0.62</v>
      </c>
      <c r="BE13" s="58"/>
      <c r="BF13" s="88">
        <v>0.6</v>
      </c>
      <c r="BG13" s="16">
        <v>2</v>
      </c>
      <c r="BH13" s="58"/>
      <c r="BI13" s="58"/>
      <c r="BJ13" s="58"/>
      <c r="BK13" s="84"/>
      <c r="BL13" s="58"/>
      <c r="BM13" s="12"/>
      <c r="BN13" s="12"/>
      <c r="BO13" s="12"/>
      <c r="BP13" s="356"/>
    </row>
    <row r="14" spans="2:68" ht="15.75" thickBot="1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AD14" s="355"/>
      <c r="AE14" s="12"/>
      <c r="AF14" s="12"/>
      <c r="AG14" s="170" t="s">
        <v>15</v>
      </c>
      <c r="AH14" s="16">
        <v>1.18</v>
      </c>
      <c r="AI14" s="16">
        <v>3</v>
      </c>
      <c r="AJ14" s="16">
        <v>0.65</v>
      </c>
      <c r="AK14" s="58"/>
      <c r="AL14" s="88">
        <v>0.45</v>
      </c>
      <c r="AM14" s="16">
        <v>3</v>
      </c>
      <c r="AN14" s="58"/>
      <c r="AO14" s="58"/>
      <c r="AP14" s="58"/>
      <c r="AQ14" s="84"/>
      <c r="AR14" s="58"/>
      <c r="AS14" s="12"/>
      <c r="AT14" s="12"/>
      <c r="AU14" s="12"/>
      <c r="AV14" s="12"/>
      <c r="AW14" s="363"/>
      <c r="AX14" s="12"/>
      <c r="AY14" s="12"/>
      <c r="AZ14" s="12"/>
      <c r="BA14" s="58"/>
      <c r="BB14" s="58"/>
      <c r="BC14" s="58"/>
      <c r="BD14" s="58"/>
      <c r="BE14" s="58"/>
      <c r="BF14" s="84"/>
      <c r="BG14" s="58"/>
      <c r="BH14" s="58"/>
      <c r="BI14" s="58"/>
      <c r="BJ14" s="58"/>
      <c r="BK14" s="84"/>
      <c r="BL14" s="58"/>
      <c r="BM14" s="12"/>
      <c r="BN14" s="12"/>
      <c r="BO14" s="12"/>
      <c r="BP14" s="356"/>
    </row>
    <row r="15" spans="2:68" ht="15.75" thickBot="1">
      <c r="B15" s="268"/>
      <c r="C15" s="15"/>
      <c r="D15" s="269" t="s">
        <v>94</v>
      </c>
      <c r="E15" s="270"/>
      <c r="F15" s="270"/>
      <c r="G15" s="271"/>
      <c r="H15" s="15"/>
      <c r="I15" s="15"/>
      <c r="J15" s="15"/>
      <c r="K15" s="15"/>
      <c r="L15" s="15"/>
      <c r="M15" s="15"/>
      <c r="N15" s="15"/>
      <c r="O15" s="15"/>
      <c r="AD15" s="355"/>
      <c r="AE15" s="12"/>
      <c r="AF15" s="12"/>
      <c r="AG15" s="58"/>
      <c r="AH15" s="58"/>
      <c r="AI15" s="58"/>
      <c r="AJ15" s="58"/>
      <c r="AK15" s="58"/>
      <c r="AL15" s="131">
        <f>SUM(AL12:AL14)</f>
        <v>1</v>
      </c>
      <c r="AM15" s="58"/>
      <c r="AN15" s="58"/>
      <c r="AO15" s="58"/>
      <c r="AP15" s="58"/>
      <c r="AQ15" s="58"/>
      <c r="AR15" s="58"/>
      <c r="AS15" s="12"/>
      <c r="AT15" s="12"/>
      <c r="AU15" s="12"/>
      <c r="AV15" s="12"/>
      <c r="AW15" s="363"/>
      <c r="AX15" s="12"/>
      <c r="AY15" s="12"/>
      <c r="AZ15" s="12"/>
      <c r="BA15" s="58"/>
      <c r="BB15" s="58"/>
      <c r="BC15" s="58"/>
      <c r="BD15" s="58"/>
      <c r="BE15" s="58"/>
      <c r="BF15" s="131">
        <f>SUM(BF12:BF14)</f>
        <v>1</v>
      </c>
      <c r="BG15" s="58"/>
      <c r="BH15" s="58"/>
      <c r="BI15" s="58"/>
      <c r="BJ15" s="58"/>
      <c r="BK15" s="58"/>
      <c r="BL15" s="58"/>
      <c r="BM15" s="12"/>
      <c r="BN15" s="12"/>
      <c r="BO15" s="12"/>
      <c r="BP15" s="356"/>
    </row>
    <row r="16" spans="2:68" ht="15.75" thickBot="1"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AD16" s="355"/>
      <c r="AE16" s="12"/>
      <c r="AF16" s="12"/>
      <c r="AG16" s="58"/>
      <c r="AH16" s="58"/>
      <c r="AI16" s="338">
        <f>AJ12/(1-(1-AJ12+AE12*AJ12*(1-1/AJ13))*AL13-(1-AF12*AJ12/AJ13)*AL13)</f>
        <v>0.64805193936620697</v>
      </c>
      <c r="AJ16" s="58"/>
      <c r="AK16" s="58"/>
      <c r="AL16" s="58" t="s">
        <v>169</v>
      </c>
      <c r="AM16" s="58"/>
      <c r="AN16" s="58"/>
      <c r="AO16" s="12"/>
      <c r="AP16" s="12"/>
      <c r="AQ16" s="10">
        <f>AJ12/(1-(1-AJ12+AJ12*(1-1/AJ13))*AL13-(1-AJ12/AJ13)*AL13)</f>
        <v>0.60586319218241047</v>
      </c>
      <c r="AR16" s="58"/>
      <c r="AS16" s="58"/>
      <c r="AT16" s="58" t="s">
        <v>170</v>
      </c>
      <c r="AU16" s="58"/>
      <c r="AV16" s="58"/>
      <c r="AW16" s="363"/>
      <c r="AX16" s="12"/>
      <c r="AY16" s="12"/>
      <c r="AZ16" s="12"/>
      <c r="BA16" s="58"/>
      <c r="BB16" s="58"/>
      <c r="BC16" s="338">
        <f>BD12/(1-(1-BD12+AY12*BD12*(1-1/BD13))*BF13-(1-AZ12*BD12/BD13)*BF13)</f>
        <v>0.67790087504679886</v>
      </c>
      <c r="BD16" s="58"/>
      <c r="BE16" s="58"/>
      <c r="BF16" s="58" t="s">
        <v>169</v>
      </c>
      <c r="BG16" s="58"/>
      <c r="BH16" s="58"/>
      <c r="BI16" s="12"/>
      <c r="BJ16" s="12"/>
      <c r="BK16" s="10">
        <f>BD12/(1-(1-BD12+BD12*(1-1/BD13))*BF13-(1-BD12/BD13)*BF13)</f>
        <v>0.62416107382550334</v>
      </c>
      <c r="BL16" s="58"/>
      <c r="BM16" s="58"/>
      <c r="BN16" s="58" t="s">
        <v>170</v>
      </c>
      <c r="BO16" s="58"/>
      <c r="BP16" s="358"/>
    </row>
    <row r="17" spans="3:68">
      <c r="C17" s="15"/>
      <c r="D17" s="265" t="s">
        <v>144</v>
      </c>
      <c r="E17" s="265"/>
      <c r="F17" s="15"/>
      <c r="G17" s="15"/>
      <c r="H17" s="15"/>
      <c r="I17" s="15"/>
      <c r="J17" s="15"/>
      <c r="K17" s="15"/>
      <c r="L17" s="15"/>
      <c r="M17" s="15"/>
      <c r="N17" s="15"/>
      <c r="O17" s="15"/>
      <c r="AD17" s="355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363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356"/>
    </row>
    <row r="18" spans="3:68">
      <c r="C18" s="15"/>
      <c r="D18" s="15"/>
      <c r="E18" s="15"/>
      <c r="F18" s="15"/>
      <c r="G18" s="15"/>
      <c r="H18" s="15"/>
      <c r="I18" s="272"/>
      <c r="J18" s="15"/>
      <c r="K18" s="15"/>
      <c r="L18" s="15"/>
      <c r="M18" s="15"/>
      <c r="N18" s="15"/>
      <c r="O18" s="15"/>
      <c r="AD18" s="355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363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356"/>
    </row>
    <row r="19" spans="3:68">
      <c r="C19" s="15"/>
      <c r="D19" s="265" t="s">
        <v>92</v>
      </c>
      <c r="E19" s="265"/>
      <c r="F19" s="15"/>
      <c r="G19" s="15"/>
      <c r="H19" s="15"/>
      <c r="I19" s="15" t="s">
        <v>95</v>
      </c>
      <c r="J19" s="15"/>
      <c r="K19" s="15"/>
      <c r="L19" s="15"/>
      <c r="M19" s="15" t="s">
        <v>96</v>
      </c>
      <c r="N19" s="15"/>
      <c r="O19" s="15"/>
      <c r="S19" t="s">
        <v>101</v>
      </c>
      <c r="AD19" s="355"/>
      <c r="AE19" s="16" t="s">
        <v>163</v>
      </c>
      <c r="AF19" s="16" t="s">
        <v>164</v>
      </c>
      <c r="AG19" s="16" t="s">
        <v>162</v>
      </c>
      <c r="AH19" s="16" t="s">
        <v>126</v>
      </c>
      <c r="AI19" s="16" t="s">
        <v>148</v>
      </c>
      <c r="AJ19" s="16" t="s">
        <v>154</v>
      </c>
      <c r="AK19" s="58"/>
      <c r="AL19" s="336" t="s">
        <v>155</v>
      </c>
      <c r="AM19" s="16" t="s">
        <v>157</v>
      </c>
      <c r="AN19" s="290" t="s">
        <v>167</v>
      </c>
      <c r="AO19" s="16" t="s">
        <v>168</v>
      </c>
      <c r="AP19" s="12"/>
      <c r="AQ19" s="58"/>
      <c r="AR19" s="58"/>
      <c r="AS19" s="58"/>
      <c r="AT19" s="58"/>
      <c r="AU19" s="58"/>
      <c r="AV19" s="337"/>
      <c r="AW19" s="364"/>
      <c r="AX19" s="12"/>
      <c r="AY19" s="16" t="s">
        <v>163</v>
      </c>
      <c r="AZ19" s="16" t="s">
        <v>164</v>
      </c>
      <c r="BA19" s="345" t="s">
        <v>162</v>
      </c>
      <c r="BB19" s="345" t="s">
        <v>126</v>
      </c>
      <c r="BC19" s="16" t="s">
        <v>148</v>
      </c>
      <c r="BD19" s="345" t="s">
        <v>154</v>
      </c>
      <c r="BE19" s="58"/>
      <c r="BF19" s="344" t="s">
        <v>155</v>
      </c>
      <c r="BG19" s="16" t="s">
        <v>157</v>
      </c>
      <c r="BH19" s="16" t="s">
        <v>167</v>
      </c>
      <c r="BI19" s="16" t="s">
        <v>168</v>
      </c>
      <c r="BJ19" s="12"/>
      <c r="BK19" s="12"/>
      <c r="BL19" s="12"/>
      <c r="BM19" s="12"/>
      <c r="BN19" s="12"/>
      <c r="BO19" s="12"/>
      <c r="BP19" s="356"/>
    </row>
    <row r="20" spans="3:68">
      <c r="C20" s="15"/>
      <c r="D20" s="15"/>
      <c r="E20" s="15"/>
      <c r="F20" s="15"/>
      <c r="G20" s="265"/>
      <c r="H20" s="15"/>
      <c r="I20" s="15"/>
      <c r="J20" s="265" t="s">
        <v>92</v>
      </c>
      <c r="K20" s="265"/>
      <c r="L20" s="265"/>
      <c r="M20" s="15" t="s">
        <v>97</v>
      </c>
      <c r="N20" s="15"/>
      <c r="O20" s="15"/>
      <c r="S20" t="s">
        <v>102</v>
      </c>
      <c r="AD20" s="355"/>
      <c r="AE20" s="12">
        <f>AE12</f>
        <v>0.68876865498860407</v>
      </c>
      <c r="AF20" s="12">
        <f>AF12</f>
        <v>0.67413528672471656</v>
      </c>
      <c r="AG20" s="170" t="str">
        <f t="shared" ref="AG20:AJ21" si="0">AG13</f>
        <v>3/8"</v>
      </c>
      <c r="AH20" s="16">
        <f t="shared" si="0"/>
        <v>9.5</v>
      </c>
      <c r="AI20" s="16">
        <f t="shared" si="0"/>
        <v>2</v>
      </c>
      <c r="AJ20" s="40">
        <f t="shared" si="0"/>
        <v>0.62</v>
      </c>
      <c r="AK20" s="58"/>
      <c r="AL20" s="88">
        <f>AL13</f>
        <v>0.15</v>
      </c>
      <c r="AM20" s="16">
        <f>AM13</f>
        <v>2</v>
      </c>
      <c r="AN20" s="16">
        <f>AN12</f>
        <v>0.12421052631578947</v>
      </c>
      <c r="AO20" s="40">
        <f>AO12</f>
        <v>0.24934383202099736</v>
      </c>
      <c r="AP20" s="12"/>
      <c r="AQ20" s="58"/>
      <c r="AR20" s="58"/>
      <c r="AS20" s="58"/>
      <c r="AT20" s="58"/>
      <c r="AU20" s="58"/>
      <c r="AV20" s="84"/>
      <c r="AW20" s="364"/>
      <c r="AX20" s="12"/>
      <c r="AY20" s="12">
        <f>(1-BI20)^1.3</f>
        <v>0.95992594871812065</v>
      </c>
      <c r="AZ20" s="12">
        <f>0.7*(1-BH20)+0.3*(1-BH20)^12</f>
        <v>0.8839859037248059</v>
      </c>
      <c r="BA20" s="290" t="str">
        <f>BA13</f>
        <v>SAND</v>
      </c>
      <c r="BB20" s="16">
        <v>38.1</v>
      </c>
      <c r="BC20" s="16">
        <v>1</v>
      </c>
      <c r="BD20" s="16">
        <f>BD13</f>
        <v>0.62</v>
      </c>
      <c r="BE20" s="58"/>
      <c r="BF20" s="88">
        <f>BF13</f>
        <v>0.6</v>
      </c>
      <c r="BG20" s="16">
        <v>1</v>
      </c>
      <c r="BH20" s="16">
        <f>BB21/BB20</f>
        <v>3.0971128608923881E-2</v>
      </c>
      <c r="BI20" s="16">
        <f>BB21/BB20</f>
        <v>3.0971128608923881E-2</v>
      </c>
      <c r="BJ20" s="12"/>
      <c r="BK20" s="12"/>
      <c r="BL20" s="12"/>
      <c r="BM20" s="12"/>
      <c r="BN20" s="12"/>
      <c r="BO20" s="12"/>
      <c r="BP20" s="356"/>
    </row>
    <row r="21" spans="3:68">
      <c r="C21" s="15"/>
      <c r="D21" s="15" t="s">
        <v>93</v>
      </c>
      <c r="E21" s="15"/>
      <c r="F21" s="15"/>
      <c r="G21" s="273"/>
      <c r="H21" s="15"/>
      <c r="I21" s="15"/>
      <c r="J21" s="15"/>
      <c r="K21" s="15"/>
      <c r="L21" s="15"/>
      <c r="M21" s="15"/>
      <c r="N21" s="15"/>
      <c r="O21" s="15"/>
      <c r="S21" t="s">
        <v>103</v>
      </c>
      <c r="AD21" s="355"/>
      <c r="AE21" s="12"/>
      <c r="AF21" s="12"/>
      <c r="AG21" s="170" t="str">
        <f t="shared" si="0"/>
        <v>sand</v>
      </c>
      <c r="AH21" s="16">
        <f t="shared" si="0"/>
        <v>1.18</v>
      </c>
      <c r="AI21" s="16">
        <f t="shared" si="0"/>
        <v>3</v>
      </c>
      <c r="AJ21" s="16">
        <f t="shared" si="0"/>
        <v>0.65</v>
      </c>
      <c r="AK21" s="58"/>
      <c r="AL21" s="88">
        <f>AL14</f>
        <v>0.45</v>
      </c>
      <c r="AM21" s="16">
        <f>AM14</f>
        <v>3</v>
      </c>
      <c r="AN21" s="58"/>
      <c r="AO21" s="58"/>
      <c r="AP21" s="12"/>
      <c r="AQ21" s="58"/>
      <c r="AR21" s="58"/>
      <c r="AS21" s="58"/>
      <c r="AT21" s="58"/>
      <c r="AU21" s="58"/>
      <c r="AV21" s="84"/>
      <c r="AW21" s="364"/>
      <c r="AX21" s="12"/>
      <c r="AY21" s="12"/>
      <c r="AZ21" s="12"/>
      <c r="BA21" s="16" t="str">
        <f>BA12</f>
        <v>#57</v>
      </c>
      <c r="BB21" s="16">
        <v>1.18</v>
      </c>
      <c r="BC21" s="16">
        <v>2</v>
      </c>
      <c r="BD21" s="16">
        <f>BD12</f>
        <v>0.6</v>
      </c>
      <c r="BE21" s="58"/>
      <c r="BF21" s="88">
        <f>BF12</f>
        <v>0.4</v>
      </c>
      <c r="BG21" s="16">
        <v>2</v>
      </c>
      <c r="BH21" s="58"/>
      <c r="BI21" s="58"/>
      <c r="BJ21" s="12"/>
      <c r="BK21" s="12"/>
      <c r="BL21" s="12"/>
      <c r="BM21" s="12"/>
      <c r="BN21" s="12"/>
      <c r="BO21" s="12"/>
      <c r="BP21" s="356"/>
    </row>
    <row r="22" spans="3:68"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S22" t="s">
        <v>104</v>
      </c>
      <c r="AD22" s="355"/>
      <c r="AE22" s="12"/>
      <c r="AF22" s="12"/>
      <c r="AG22" s="290" t="str">
        <f>AG12</f>
        <v>#57</v>
      </c>
      <c r="AH22" s="16">
        <f>AH12</f>
        <v>38.1</v>
      </c>
      <c r="AI22" s="16">
        <f>AI12</f>
        <v>1</v>
      </c>
      <c r="AJ22" s="16">
        <f>AJ12</f>
        <v>0.6</v>
      </c>
      <c r="AK22" s="58"/>
      <c r="AL22" s="88">
        <f>AL12</f>
        <v>0.4</v>
      </c>
      <c r="AM22" s="16">
        <f>AM12</f>
        <v>1</v>
      </c>
      <c r="AN22" s="58"/>
      <c r="AO22" s="58"/>
      <c r="AP22" s="12"/>
      <c r="AQ22" s="58"/>
      <c r="AR22" s="58"/>
      <c r="AS22" s="58"/>
      <c r="AT22" s="58"/>
      <c r="AU22" s="58"/>
      <c r="AV22" s="84"/>
      <c r="AW22" s="364"/>
      <c r="AX22" s="12"/>
      <c r="AY22" s="12"/>
      <c r="AZ22" s="12"/>
      <c r="BA22" s="58"/>
      <c r="BB22" s="58"/>
      <c r="BC22" s="58"/>
      <c r="BD22" s="58"/>
      <c r="BE22" s="58"/>
      <c r="BF22" s="84"/>
      <c r="BG22" s="58"/>
      <c r="BH22" s="58"/>
      <c r="BI22" s="58"/>
      <c r="BJ22" s="12"/>
      <c r="BK22" s="12"/>
      <c r="BL22" s="12"/>
      <c r="BM22" s="12"/>
      <c r="BN22" s="12"/>
      <c r="BO22" s="12"/>
      <c r="BP22" s="356"/>
    </row>
    <row r="23" spans="3:68" ht="16.5" thickBot="1">
      <c r="C23" s="15"/>
      <c r="D23" s="15"/>
      <c r="E23" s="15"/>
      <c r="F23" s="15"/>
      <c r="G23" s="15"/>
      <c r="H23" s="15"/>
      <c r="I23" s="275" t="s">
        <v>99</v>
      </c>
      <c r="J23" s="275"/>
      <c r="K23" s="15"/>
      <c r="L23" s="15"/>
      <c r="M23" s="15"/>
      <c r="N23" s="15"/>
      <c r="O23" s="15"/>
      <c r="S23" t="s">
        <v>105</v>
      </c>
      <c r="AD23" s="355"/>
      <c r="AE23" s="12"/>
      <c r="AF23" s="12"/>
      <c r="AG23" s="58"/>
      <c r="AH23" s="58"/>
      <c r="AI23" s="58"/>
      <c r="AJ23" s="58"/>
      <c r="AK23" s="58"/>
      <c r="AL23" s="131">
        <f>SUM(AL20:AL22)</f>
        <v>1</v>
      </c>
      <c r="AM23" s="58"/>
      <c r="AN23" s="58"/>
      <c r="AO23" s="58"/>
      <c r="AP23" s="12"/>
      <c r="AQ23" s="12"/>
      <c r="AR23" s="12"/>
      <c r="AS23" s="12"/>
      <c r="AT23" s="12"/>
      <c r="AU23" s="12"/>
      <c r="AV23" s="12"/>
      <c r="AW23" s="363"/>
      <c r="AX23" s="12"/>
      <c r="AY23" s="12"/>
      <c r="AZ23" s="12"/>
      <c r="BA23" s="58"/>
      <c r="BB23" s="58"/>
      <c r="BC23" s="58"/>
      <c r="BD23" s="58"/>
      <c r="BE23" s="58"/>
      <c r="BF23" s="131">
        <f>SUM(BF20:BF22)</f>
        <v>1</v>
      </c>
      <c r="BG23" s="58"/>
      <c r="BH23" s="58"/>
      <c r="BI23" s="58"/>
      <c r="BJ23" s="12"/>
      <c r="BK23" s="12"/>
      <c r="BL23" s="12"/>
      <c r="BM23" s="12"/>
      <c r="BN23" s="12"/>
      <c r="BO23" s="12"/>
      <c r="BP23" s="356"/>
    </row>
    <row r="24" spans="3:68" ht="15.75" thickBot="1">
      <c r="C24" s="15"/>
      <c r="D24" s="15"/>
      <c r="E24" s="15"/>
      <c r="F24" s="15"/>
      <c r="G24" s="15"/>
      <c r="H24" s="15"/>
      <c r="I24" s="276"/>
      <c r="J24" s="276"/>
      <c r="K24" s="15"/>
      <c r="L24" s="15"/>
      <c r="S24" t="s">
        <v>106</v>
      </c>
      <c r="AD24" s="355"/>
      <c r="AE24" s="12"/>
      <c r="AF24" s="12"/>
      <c r="AG24" s="58"/>
      <c r="AH24" s="58"/>
      <c r="AI24" s="338">
        <f>AJ20/(1-(1-AJ20+AE20*AJ20*(1-1/AJ21))*AL21-(1-AF20*AJ20/AJ21)*AL21)</f>
        <v>0.80328168809089118</v>
      </c>
      <c r="AJ24" s="58"/>
      <c r="AK24" s="58"/>
      <c r="AL24" s="58"/>
      <c r="AM24" s="58"/>
      <c r="AN24" s="58"/>
      <c r="AO24" s="58"/>
      <c r="AP24" s="12"/>
      <c r="AQ24" s="10">
        <f>AJ20/(1-(1-AJ20+AJ20*(1-1/AJ21))*AL21-(1-AJ20/AJ21)*AL21)</f>
        <v>0.64686998394863571</v>
      </c>
      <c r="AR24" s="58"/>
      <c r="AS24" s="58"/>
      <c r="AT24" s="58" t="s">
        <v>170</v>
      </c>
      <c r="AU24" s="58"/>
      <c r="AV24" s="58"/>
      <c r="AW24" s="363"/>
      <c r="AX24" s="12"/>
      <c r="AY24" s="12"/>
      <c r="AZ24" s="12"/>
      <c r="BA24" s="58"/>
      <c r="BB24" s="58"/>
      <c r="BC24" s="338">
        <f>BD20/(1-(1-BD20+AY20*BD20*(1-1/BD21))*BF21-(1-AZ20*BD20/BD21)*BF21)</f>
        <v>0.63780194714196947</v>
      </c>
      <c r="BD24" s="58"/>
      <c r="BE24" s="58"/>
      <c r="BF24" s="58" t="s">
        <v>169</v>
      </c>
      <c r="BG24" s="58"/>
      <c r="BH24" s="58"/>
      <c r="BI24" s="12"/>
      <c r="BJ24" s="12"/>
      <c r="BK24" s="10">
        <f>BD20/(1-(1-BD20+BD20*(1-1/BD21))*BF21-(1-BD20/BD21)*BF21)</f>
        <v>0.60389610389610382</v>
      </c>
      <c r="BL24" s="58"/>
      <c r="BM24" s="58"/>
      <c r="BN24" s="58" t="s">
        <v>170</v>
      </c>
      <c r="BO24" s="58"/>
      <c r="BP24" s="358"/>
    </row>
    <row r="25" spans="3:68" ht="15.75">
      <c r="C25" s="15"/>
      <c r="D25" s="15"/>
      <c r="E25" s="15"/>
      <c r="F25" s="15"/>
      <c r="G25" s="15"/>
      <c r="H25" s="15"/>
      <c r="I25" s="275" t="s">
        <v>98</v>
      </c>
      <c r="J25" s="275"/>
      <c r="K25" s="15"/>
      <c r="L25" s="15"/>
      <c r="S25" t="s">
        <v>107</v>
      </c>
      <c r="AD25" s="355"/>
      <c r="AE25" s="12"/>
      <c r="AF25" s="12"/>
      <c r="AG25" s="12"/>
      <c r="AH25" s="12"/>
      <c r="AI25" s="12"/>
      <c r="AJ25" s="12"/>
      <c r="AK25" s="12"/>
      <c r="AL25" s="300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363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356"/>
    </row>
    <row r="26" spans="3:68" ht="15.75" thickBot="1">
      <c r="I26" s="274"/>
      <c r="J26" s="274"/>
      <c r="S26" t="s">
        <v>110</v>
      </c>
      <c r="AD26" s="355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363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356"/>
    </row>
    <row r="27" spans="3:68" ht="16.5" thickTop="1" thickBot="1">
      <c r="F27" s="36" t="s">
        <v>123</v>
      </c>
      <c r="G27" s="36" t="s">
        <v>128</v>
      </c>
      <c r="L27" t="s">
        <v>124</v>
      </c>
      <c r="M27" s="279" t="s">
        <v>126</v>
      </c>
      <c r="N27" s="10" t="s">
        <v>100</v>
      </c>
      <c r="O27" s="287" t="s">
        <v>127</v>
      </c>
      <c r="S27" t="s">
        <v>111</v>
      </c>
      <c r="T27" s="267"/>
      <c r="AD27" s="355"/>
      <c r="AE27" s="16" t="s">
        <v>163</v>
      </c>
      <c r="AF27" s="16" t="s">
        <v>164</v>
      </c>
      <c r="AG27" s="16" t="s">
        <v>162</v>
      </c>
      <c r="AH27" s="16" t="s">
        <v>126</v>
      </c>
      <c r="AI27" s="16" t="s">
        <v>148</v>
      </c>
      <c r="AJ27" s="16" t="s">
        <v>154</v>
      </c>
      <c r="AK27" s="58"/>
      <c r="AL27" s="336" t="s">
        <v>155</v>
      </c>
      <c r="AM27" s="16" t="s">
        <v>157</v>
      </c>
      <c r="AN27" s="16" t="s">
        <v>167</v>
      </c>
      <c r="AO27" s="16" t="s">
        <v>168</v>
      </c>
      <c r="AP27" s="12"/>
      <c r="AQ27" s="58"/>
      <c r="AR27" s="58"/>
      <c r="AS27" s="58"/>
      <c r="AT27" s="58"/>
      <c r="AU27" s="58"/>
      <c r="AV27" s="337"/>
      <c r="AW27" s="364"/>
      <c r="AX27" s="12"/>
      <c r="AY27" s="12" t="s">
        <v>171</v>
      </c>
      <c r="AZ27" s="12"/>
      <c r="BA27" s="12"/>
      <c r="BB27" s="12"/>
      <c r="BC27" s="339">
        <f>MIN(BC24,BC16)</f>
        <v>0.63780194714196947</v>
      </c>
      <c r="BD27" s="12"/>
      <c r="BE27" s="12"/>
      <c r="BF27" s="12"/>
      <c r="BG27" s="12"/>
      <c r="BH27" s="12"/>
      <c r="BI27" s="12"/>
      <c r="BJ27" s="12"/>
      <c r="BK27" s="340">
        <f>MIN(BK24,BK16)</f>
        <v>0.60389610389610382</v>
      </c>
      <c r="BL27" s="58"/>
      <c r="BM27" s="58"/>
      <c r="BN27" s="58" t="s">
        <v>170</v>
      </c>
      <c r="BO27" s="58"/>
      <c r="BP27" s="358"/>
    </row>
    <row r="28" spans="3:68" ht="15.75" thickBot="1">
      <c r="F28" s="119">
        <f>L28</f>
        <v>0.45</v>
      </c>
      <c r="G28" s="119">
        <f>L29</f>
        <v>0.15</v>
      </c>
      <c r="H28" s="10"/>
      <c r="L28" s="285">
        <v>0.45</v>
      </c>
      <c r="M28" s="279">
        <v>25</v>
      </c>
      <c r="N28" s="277">
        <v>0.60990162876955345</v>
      </c>
      <c r="O28" s="288" t="s">
        <v>14</v>
      </c>
      <c r="S28" t="s">
        <v>108</v>
      </c>
      <c r="AD28" s="355"/>
      <c r="AE28" s="12">
        <f>(1-AO28)^1.3</f>
        <v>0.68876865498860407</v>
      </c>
      <c r="AF28" s="12">
        <f>AF20</f>
        <v>0.67413528672471656</v>
      </c>
      <c r="AG28" s="170" t="str">
        <f t="shared" ref="AG28:AJ29" si="1">AG21</f>
        <v>sand</v>
      </c>
      <c r="AH28" s="16">
        <f t="shared" si="1"/>
        <v>1.18</v>
      </c>
      <c r="AI28" s="16">
        <f t="shared" si="1"/>
        <v>3</v>
      </c>
      <c r="AJ28" s="16">
        <f t="shared" si="1"/>
        <v>0.65</v>
      </c>
      <c r="AK28" s="58"/>
      <c r="AL28" s="88">
        <f>AL21</f>
        <v>0.45</v>
      </c>
      <c r="AM28" s="16">
        <f>AM21</f>
        <v>3</v>
      </c>
      <c r="AN28" s="16">
        <f>AN20</f>
        <v>0.12421052631578947</v>
      </c>
      <c r="AO28" s="16">
        <f>AO20</f>
        <v>0.24934383202099736</v>
      </c>
      <c r="AP28" s="12"/>
      <c r="AQ28" s="58"/>
      <c r="AR28" s="58"/>
      <c r="AS28" s="58"/>
      <c r="AT28" s="58"/>
      <c r="AU28" s="58"/>
      <c r="AV28" s="84"/>
      <c r="AW28" s="364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356"/>
    </row>
    <row r="29" spans="3:68" ht="15.75" thickBot="1">
      <c r="F29" s="119">
        <f>L29</f>
        <v>0.15</v>
      </c>
      <c r="G29" s="119">
        <f>L30</f>
        <v>0.4</v>
      </c>
      <c r="H29" s="10"/>
      <c r="L29" s="101">
        <v>0.15</v>
      </c>
      <c r="M29" s="36">
        <v>9.5</v>
      </c>
      <c r="N29" s="278">
        <v>0.61619093694565397</v>
      </c>
      <c r="O29" s="289" t="s">
        <v>4</v>
      </c>
      <c r="S29" t="s">
        <v>109</v>
      </c>
      <c r="AD29" s="355"/>
      <c r="AE29" s="12"/>
      <c r="AF29" s="12"/>
      <c r="AG29" s="290" t="str">
        <f t="shared" si="1"/>
        <v>#57</v>
      </c>
      <c r="AH29" s="16">
        <f t="shared" si="1"/>
        <v>38.1</v>
      </c>
      <c r="AI29" s="16">
        <f t="shared" si="1"/>
        <v>1</v>
      </c>
      <c r="AJ29" s="16">
        <f t="shared" si="1"/>
        <v>0.6</v>
      </c>
      <c r="AK29" s="58"/>
      <c r="AL29" s="88">
        <f>AL22</f>
        <v>0.4</v>
      </c>
      <c r="AM29" s="16">
        <f>AM22</f>
        <v>1</v>
      </c>
      <c r="AN29" s="58"/>
      <c r="AO29" s="58"/>
      <c r="AP29" s="12"/>
      <c r="AQ29" s="58"/>
      <c r="AR29" s="58"/>
      <c r="AS29" s="58"/>
      <c r="AT29" s="58"/>
      <c r="AU29" s="58"/>
      <c r="AV29" s="84"/>
      <c r="AW29" s="364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356"/>
    </row>
    <row r="30" spans="3:68" ht="15.75" thickBot="1">
      <c r="F30" s="119">
        <f>L30</f>
        <v>0.4</v>
      </c>
      <c r="G30" s="119">
        <f>L28</f>
        <v>0.45</v>
      </c>
      <c r="H30" s="10"/>
      <c r="L30" s="101">
        <v>0.4</v>
      </c>
      <c r="M30" s="58">
        <v>1.18</v>
      </c>
      <c r="N30" s="278">
        <v>0.67585873246250616</v>
      </c>
      <c r="O30" s="289" t="s">
        <v>73</v>
      </c>
      <c r="S30" t="s">
        <v>112</v>
      </c>
      <c r="AD30" s="355"/>
      <c r="AE30" s="12"/>
      <c r="AF30" s="12"/>
      <c r="AG30" s="170" t="str">
        <f>AG20</f>
        <v>3/8"</v>
      </c>
      <c r="AH30" s="16">
        <f>AH20</f>
        <v>9.5</v>
      </c>
      <c r="AI30" s="16">
        <f>AI20</f>
        <v>2</v>
      </c>
      <c r="AJ30" s="40">
        <f>AJ20</f>
        <v>0.62</v>
      </c>
      <c r="AK30" s="58"/>
      <c r="AL30" s="88">
        <f>AL20</f>
        <v>0.15</v>
      </c>
      <c r="AM30" s="16">
        <f>AM20</f>
        <v>2</v>
      </c>
      <c r="AN30" s="58"/>
      <c r="AO30" s="58"/>
      <c r="AP30" s="12"/>
      <c r="AQ30" s="58"/>
      <c r="AR30" s="58"/>
      <c r="AS30" s="58"/>
      <c r="AT30" s="58"/>
      <c r="AU30" s="58"/>
      <c r="AV30" s="84"/>
      <c r="AW30" s="364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356"/>
    </row>
    <row r="31" spans="3:68" ht="15.75" thickBot="1">
      <c r="F31" s="286">
        <f>SUM(F28:F30)</f>
        <v>1</v>
      </c>
      <c r="G31" s="286">
        <f>SUM(G28:G30)</f>
        <v>1</v>
      </c>
      <c r="L31" s="286">
        <f>SUM(L28:L30)</f>
        <v>1</v>
      </c>
      <c r="O31" s="36"/>
      <c r="S31" t="s">
        <v>113</v>
      </c>
      <c r="AD31" s="355"/>
      <c r="AE31" s="12"/>
      <c r="AF31" s="12"/>
      <c r="AG31" s="58"/>
      <c r="AH31" s="58"/>
      <c r="AI31" s="58"/>
      <c r="AJ31" s="58"/>
      <c r="AK31" s="58"/>
      <c r="AL31" s="131">
        <f>SUM(AL28:AL30)</f>
        <v>1</v>
      </c>
      <c r="AM31" s="58"/>
      <c r="AN31" s="58"/>
      <c r="AO31" s="58"/>
      <c r="AP31" s="12"/>
      <c r="AQ31" s="12"/>
      <c r="AR31" s="12"/>
      <c r="AS31" s="12"/>
      <c r="AT31" s="12"/>
      <c r="AU31" s="12"/>
      <c r="AV31" s="12"/>
      <c r="AW31" s="363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356"/>
    </row>
    <row r="32" spans="3:68" ht="15.75" thickBot="1">
      <c r="L32" s="36"/>
      <c r="S32" t="s">
        <v>114</v>
      </c>
      <c r="AD32" s="355"/>
      <c r="AE32" s="12"/>
      <c r="AF32" s="12"/>
      <c r="AG32" s="58"/>
      <c r="AH32" s="58"/>
      <c r="AI32" s="338">
        <f>AJ28/(1-(1-AJ28+AE28*AJ28*(1-1/AJ29))*AL29-(1-AF28*AJ28/AJ29)*AL29)</f>
        <v>0.7458303569806688</v>
      </c>
      <c r="AJ32" s="58"/>
      <c r="AK32" s="58"/>
      <c r="AL32" s="58"/>
      <c r="AM32" s="58"/>
      <c r="AN32" s="58"/>
      <c r="AO32" s="58"/>
      <c r="AP32" s="12"/>
      <c r="AQ32" s="10">
        <f>AJ28/(1-(1-AJ28+AJ28*(1-1/AJ29))*AL29-(1-AJ28/AJ29)*AL29)</f>
        <v>0.60937499999999989</v>
      </c>
      <c r="AR32" s="58"/>
      <c r="AS32" s="58"/>
      <c r="AT32" s="58" t="s">
        <v>170</v>
      </c>
      <c r="AU32" s="58"/>
      <c r="AV32" s="58"/>
      <c r="AW32" s="363"/>
      <c r="AX32" s="12"/>
      <c r="AY32" s="12"/>
      <c r="AZ32" s="366" t="s">
        <v>178</v>
      </c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356"/>
    </row>
    <row r="33" spans="6:68">
      <c r="F33" s="290" t="s">
        <v>129</v>
      </c>
      <c r="G33" s="16" t="s">
        <v>130</v>
      </c>
      <c r="H33" s="16" t="s">
        <v>131</v>
      </c>
      <c r="I33" s="93" t="s">
        <v>132</v>
      </c>
      <c r="J33" s="93" t="s">
        <v>37</v>
      </c>
      <c r="K33" s="93" t="s">
        <v>133</v>
      </c>
      <c r="L33" s="36"/>
      <c r="S33" t="s">
        <v>115</v>
      </c>
      <c r="X33" t="s">
        <v>116</v>
      </c>
      <c r="Z33" t="s">
        <v>117</v>
      </c>
      <c r="AD33" s="355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363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356"/>
    </row>
    <row r="34" spans="6:68">
      <c r="F34" s="290">
        <f>F28*G28/(1-F28)</f>
        <v>0.12272727272727273</v>
      </c>
      <c r="G34" s="16">
        <f>G28*F28/(1-G28)</f>
        <v>7.9411764705882362E-2</v>
      </c>
      <c r="H34" s="10">
        <f>F34+G34</f>
        <v>0.20213903743315509</v>
      </c>
      <c r="I34">
        <f>(M28-M29)/(M28+M29)</f>
        <v>0.44927536231884058</v>
      </c>
      <c r="J34">
        <f>G28/F28*N28/(N29*(1-N28))</f>
        <v>0.84576380458333966</v>
      </c>
      <c r="S34" t="s">
        <v>119</v>
      </c>
      <c r="AD34" s="355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363"/>
      <c r="AX34" s="12"/>
      <c r="AY34" s="12"/>
      <c r="AZ34" s="12" t="s">
        <v>181</v>
      </c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356"/>
    </row>
    <row r="35" spans="6:68" ht="15.75" thickBot="1">
      <c r="F35" s="290">
        <f t="shared" ref="F35:F36" si="2">F29*G29/(1-F29)</f>
        <v>7.0588235294117646E-2</v>
      </c>
      <c r="G35" s="16">
        <f t="shared" ref="G35:G36" si="3">G29*F29/(1-G29)</f>
        <v>0.1</v>
      </c>
      <c r="H35" s="10">
        <f t="shared" ref="H35:H36" si="4">F35+G35</f>
        <v>0.17058823529411765</v>
      </c>
      <c r="I35">
        <f>(M29-M30)/(M29+M30)</f>
        <v>0.77902621722846443</v>
      </c>
      <c r="J35">
        <f>G29/F29*N29/(N30*(1-N29))</f>
        <v>6.3345079191304308</v>
      </c>
      <c r="S35" t="s">
        <v>118</v>
      </c>
      <c r="AD35" s="355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363"/>
      <c r="AX35" s="12"/>
      <c r="AY35" s="12"/>
      <c r="AZ35" s="12" t="s">
        <v>179</v>
      </c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 t="s">
        <v>180</v>
      </c>
      <c r="BO35" s="12"/>
      <c r="BP35" s="356"/>
    </row>
    <row r="36" spans="6:68" ht="16.5" thickTop="1" thickBot="1">
      <c r="F36" s="290">
        <f t="shared" si="2"/>
        <v>0.30000000000000004</v>
      </c>
      <c r="G36" s="16">
        <f t="shared" si="3"/>
        <v>0.32727272727272727</v>
      </c>
      <c r="H36" s="10">
        <f t="shared" si="4"/>
        <v>0.62727272727272732</v>
      </c>
      <c r="I36">
        <f>(M28-M30)/(M28+M30)</f>
        <v>0.90985485103132169</v>
      </c>
      <c r="S36" t="s">
        <v>120</v>
      </c>
      <c r="AD36" s="355"/>
      <c r="AE36" s="12" t="s">
        <v>171</v>
      </c>
      <c r="AF36" s="12"/>
      <c r="AG36" s="12"/>
      <c r="AH36" s="12"/>
      <c r="AI36" s="339">
        <f>MIN(AI16,AI24,AI32)</f>
        <v>0.64805193936620697</v>
      </c>
      <c r="AJ36" s="58"/>
      <c r="AK36" s="58"/>
      <c r="AL36" s="58" t="s">
        <v>169</v>
      </c>
      <c r="AM36" s="58"/>
      <c r="AN36" s="58"/>
      <c r="AO36" s="12"/>
      <c r="AP36" s="12"/>
      <c r="AQ36" s="341">
        <f>MIN(AQ16,AQ24,AQ32)</f>
        <v>0.60586319218241047</v>
      </c>
      <c r="AR36" s="58"/>
      <c r="AS36" s="58"/>
      <c r="AT36" s="58" t="s">
        <v>170</v>
      </c>
      <c r="AU36" s="58"/>
      <c r="AV36" s="58"/>
      <c r="AW36" s="363"/>
      <c r="AX36" s="12"/>
      <c r="AY36" s="12"/>
      <c r="AZ36" s="56" t="s">
        <v>182</v>
      </c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356"/>
    </row>
    <row r="37" spans="6:68" ht="15.75" thickTop="1">
      <c r="G37" s="27" t="s">
        <v>50</v>
      </c>
      <c r="H37" s="16">
        <f>SUM(H34:H36)</f>
        <v>1</v>
      </c>
      <c r="S37" t="s">
        <v>121</v>
      </c>
      <c r="AD37" s="355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363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356"/>
    </row>
    <row r="38" spans="6:68">
      <c r="S38" t="s">
        <v>122</v>
      </c>
      <c r="AD38" s="355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363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356"/>
    </row>
    <row r="39" spans="6:68" ht="15.75" thickBot="1">
      <c r="AA39" s="36"/>
      <c r="AD39" s="359"/>
      <c r="AE39" s="360"/>
      <c r="AF39" s="360"/>
      <c r="AG39" s="360"/>
      <c r="AH39" s="360"/>
      <c r="AI39" s="360"/>
      <c r="AJ39" s="360"/>
      <c r="AK39" s="360"/>
      <c r="AL39" s="360"/>
      <c r="AM39" s="360"/>
      <c r="AN39" s="360"/>
      <c r="AO39" s="360"/>
      <c r="AP39" s="360"/>
      <c r="AQ39" s="360"/>
      <c r="AR39" s="360"/>
      <c r="AS39" s="360"/>
      <c r="AT39" s="360"/>
      <c r="AU39" s="360"/>
      <c r="AV39" s="360"/>
      <c r="AW39" s="365"/>
      <c r="AX39" s="360"/>
      <c r="AY39" s="360"/>
      <c r="AZ39" s="360"/>
      <c r="BA39" s="360"/>
      <c r="BB39" s="360"/>
      <c r="BC39" s="360"/>
      <c r="BD39" s="360"/>
      <c r="BE39" s="360"/>
      <c r="BF39" s="360"/>
      <c r="BG39" s="360"/>
      <c r="BH39" s="360"/>
      <c r="BI39" s="360"/>
      <c r="BJ39" s="360"/>
      <c r="BK39" s="360"/>
      <c r="BL39" s="360"/>
      <c r="BM39" s="360"/>
      <c r="BN39" s="360"/>
      <c r="BO39" s="360"/>
      <c r="BP39" s="361"/>
    </row>
    <row r="40" spans="6:68">
      <c r="AB40" s="10" t="s">
        <v>125</v>
      </c>
      <c r="AC40" s="16" t="s">
        <v>22</v>
      </c>
    </row>
    <row r="41" spans="6:68">
      <c r="U41" s="279"/>
      <c r="AB41" s="280"/>
      <c r="AC41" s="281">
        <v>1.5</v>
      </c>
    </row>
    <row r="42" spans="6:68" ht="15.75" thickBot="1">
      <c r="U42" s="15"/>
      <c r="AB42" s="39" t="s">
        <v>3</v>
      </c>
      <c r="AC42" s="282">
        <v>1</v>
      </c>
    </row>
    <row r="43" spans="6:68" ht="15.75" thickBot="1">
      <c r="F43" s="36" t="s">
        <v>136</v>
      </c>
      <c r="G43" s="36" t="s">
        <v>139</v>
      </c>
      <c r="H43" s="36" t="s">
        <v>138</v>
      </c>
      <c r="I43" s="36" t="s">
        <v>37</v>
      </c>
      <c r="J43" t="s">
        <v>137</v>
      </c>
      <c r="K43" t="s">
        <v>135</v>
      </c>
      <c r="L43" t="s">
        <v>124</v>
      </c>
      <c r="M43" t="s">
        <v>124</v>
      </c>
      <c r="N43" s="279" t="s">
        <v>126</v>
      </c>
      <c r="O43" s="10" t="s">
        <v>100</v>
      </c>
      <c r="P43" s="287" t="s">
        <v>127</v>
      </c>
      <c r="AB43" s="39" t="s">
        <v>6</v>
      </c>
      <c r="AC43" s="283">
        <v>0.75</v>
      </c>
      <c r="AD43" s="135">
        <v>19</v>
      </c>
    </row>
    <row r="44" spans="6:68" ht="15.75" thickBot="1">
      <c r="F44">
        <f>1-(H44/G44)</f>
        <v>0.73110634319444667</v>
      </c>
      <c r="G44">
        <f>(1+I44)^4</f>
        <v>20.494125285730188</v>
      </c>
      <c r="H44">
        <f>1+4*I44</f>
        <v>5.5107402911111452</v>
      </c>
      <c r="I44">
        <f>L45*O44/(L44*O45*(1-O44))</f>
        <v>1.1276850727777863</v>
      </c>
      <c r="J44" s="4">
        <f>L44/L45</f>
        <v>2.25</v>
      </c>
      <c r="K44">
        <f>(N44-N45)/(N44+N45)</f>
        <v>0.44927536231884058</v>
      </c>
      <c r="L44" s="285">
        <f>M44/(M44+M45)</f>
        <v>0.69230769230769229</v>
      </c>
      <c r="M44" s="60">
        <v>0.45</v>
      </c>
      <c r="N44" s="279">
        <v>25</v>
      </c>
      <c r="O44" s="277">
        <v>0.60990162876955345</v>
      </c>
      <c r="P44" s="288" t="s">
        <v>14</v>
      </c>
      <c r="AB44" s="39" t="s">
        <v>1</v>
      </c>
      <c r="AC44" s="283">
        <v>0.5</v>
      </c>
      <c r="AD44" s="135">
        <v>12.5</v>
      </c>
    </row>
    <row r="45" spans="6:68" ht="15.75" thickBot="1">
      <c r="L45" s="101">
        <f>M45/(M44+M45)</f>
        <v>0.30769230769230771</v>
      </c>
      <c r="M45" s="60">
        <v>0.2</v>
      </c>
      <c r="N45" s="36">
        <v>9.5</v>
      </c>
      <c r="O45" s="278">
        <v>0.61619093694565397</v>
      </c>
      <c r="P45" s="289" t="s">
        <v>4</v>
      </c>
      <c r="AB45" s="39" t="s">
        <v>4</v>
      </c>
      <c r="AC45" s="135">
        <f>3/8</f>
        <v>0.375</v>
      </c>
      <c r="AD45" s="135">
        <v>9.5</v>
      </c>
    </row>
    <row r="46" spans="6:68" ht="15.75" thickBot="1">
      <c r="L46" s="101"/>
      <c r="M46" s="60">
        <v>0.35</v>
      </c>
      <c r="N46" s="58">
        <v>1.18</v>
      </c>
      <c r="O46" s="278">
        <v>0.67585873246250616</v>
      </c>
      <c r="P46" s="289" t="s">
        <v>73</v>
      </c>
      <c r="AB46" s="284" t="s">
        <v>2</v>
      </c>
      <c r="AC46" s="12">
        <f t="shared" ref="AC46:AC51" si="5">AD46/25.4</f>
        <v>0.18700787401574803</v>
      </c>
      <c r="AD46" s="135">
        <v>4.75</v>
      </c>
    </row>
    <row r="47" spans="6:68">
      <c r="L47" s="286">
        <f>SUM(L44:L45)</f>
        <v>1</v>
      </c>
      <c r="M47" s="60">
        <f>SUM(M44:M46)</f>
        <v>1</v>
      </c>
      <c r="O47" s="36"/>
      <c r="AB47" s="39" t="s">
        <v>5</v>
      </c>
      <c r="AC47" s="12">
        <f t="shared" si="5"/>
        <v>9.2913385826771652E-2</v>
      </c>
      <c r="AD47" s="135">
        <v>2.36</v>
      </c>
    </row>
    <row r="48" spans="6:68" ht="15.75" thickBot="1">
      <c r="AB48" s="39" t="s">
        <v>7</v>
      </c>
      <c r="AC48" s="12">
        <f t="shared" si="5"/>
        <v>4.6456692913385826E-2</v>
      </c>
      <c r="AD48" s="135">
        <v>1.18</v>
      </c>
    </row>
    <row r="49" spans="6:30">
      <c r="L49" s="291" t="s">
        <v>143</v>
      </c>
      <c r="M49" s="292" t="s">
        <v>142</v>
      </c>
      <c r="N49" s="293" t="s">
        <v>141</v>
      </c>
      <c r="O49" s="294" t="s">
        <v>140</v>
      </c>
      <c r="AB49" s="39" t="s">
        <v>8</v>
      </c>
      <c r="AC49" s="12">
        <f t="shared" si="5"/>
        <v>2.3622047244094488E-2</v>
      </c>
      <c r="AD49" s="135">
        <v>0.6</v>
      </c>
    </row>
    <row r="50" spans="6:30" ht="15.75" thickBot="1">
      <c r="L50" s="295">
        <f>1/(O50+N50-M50)</f>
        <v>0.67158635679454437</v>
      </c>
      <c r="M50" s="296">
        <f>((1/O44)-1)*L44*K44*F44</f>
        <v>0.14544763234174285</v>
      </c>
      <c r="N50" s="296">
        <f>L44/O44</f>
        <v>1.1351136964569009</v>
      </c>
      <c r="O50" s="297">
        <f>L45/O45</f>
        <v>0.499345721015441</v>
      </c>
      <c r="AB50" s="39" t="s">
        <v>9</v>
      </c>
      <c r="AC50" s="12">
        <f t="shared" si="5"/>
        <v>1.1811023622047244E-2</v>
      </c>
      <c r="AD50" s="135">
        <v>0.3</v>
      </c>
    </row>
    <row r="51" spans="6:30">
      <c r="AB51" s="40" t="s">
        <v>10</v>
      </c>
      <c r="AC51" s="132">
        <f t="shared" si="5"/>
        <v>5.905511811023622E-3</v>
      </c>
      <c r="AD51" s="29">
        <v>0.15</v>
      </c>
    </row>
    <row r="52" spans="6:30" ht="15.75" thickBot="1"/>
    <row r="53" spans="6:30" ht="15.75" thickBot="1">
      <c r="F53" s="36" t="s">
        <v>136</v>
      </c>
      <c r="G53" s="36" t="s">
        <v>139</v>
      </c>
      <c r="H53" s="36" t="s">
        <v>138</v>
      </c>
      <c r="I53" s="36" t="s">
        <v>37</v>
      </c>
      <c r="J53" t="s">
        <v>137</v>
      </c>
      <c r="K53" t="s">
        <v>135</v>
      </c>
      <c r="L53" t="s">
        <v>124</v>
      </c>
      <c r="M53" t="s">
        <v>124</v>
      </c>
      <c r="N53" t="s">
        <v>145</v>
      </c>
      <c r="O53" s="279" t="s">
        <v>126</v>
      </c>
      <c r="P53" s="10" t="s">
        <v>100</v>
      </c>
      <c r="Q53" s="287" t="s">
        <v>127</v>
      </c>
    </row>
    <row r="54" spans="6:30" ht="15.75" thickBot="1">
      <c r="L54" s="285"/>
      <c r="M54" s="60">
        <v>0.45</v>
      </c>
      <c r="O54" s="279">
        <v>25</v>
      </c>
      <c r="P54" s="277">
        <v>0.60990162876955345</v>
      </c>
      <c r="Q54" s="288" t="s">
        <v>14</v>
      </c>
    </row>
    <row r="55" spans="6:30" ht="15.75" thickBot="1">
      <c r="F55">
        <f>1-(H55/G55)</f>
        <v>0.97507646992897068</v>
      </c>
      <c r="G55">
        <f>(1+I55)^4</f>
        <v>707.28677829662468</v>
      </c>
      <c r="H55">
        <f>1+4*I55</f>
        <v>17.628083287717374</v>
      </c>
      <c r="I55">
        <f>M56/M55*P55/P56/(1-P55)</f>
        <v>4.1570208219293434</v>
      </c>
      <c r="J55" s="4">
        <f>M56/M55</f>
        <v>1.7499999999999998</v>
      </c>
      <c r="K55">
        <f>(O55-O56)/(O55+O56)</f>
        <v>0.77902621722846443</v>
      </c>
      <c r="L55" s="101">
        <f>M55/(M55+M56)</f>
        <v>0.36363636363636365</v>
      </c>
      <c r="M55" s="60">
        <v>0.2</v>
      </c>
      <c r="N55">
        <v>15</v>
      </c>
      <c r="O55" s="36">
        <v>9.5</v>
      </c>
      <c r="P55" s="278">
        <v>0.61619093694565397</v>
      </c>
      <c r="Q55" s="289" t="s">
        <v>4</v>
      </c>
    </row>
    <row r="56" spans="6:30" ht="15.75" thickBot="1">
      <c r="L56" s="101">
        <f>M56/(M55+M56)</f>
        <v>0.63636363636363624</v>
      </c>
      <c r="M56" s="60">
        <v>0.35</v>
      </c>
      <c r="N56">
        <v>1.18</v>
      </c>
      <c r="O56" s="58">
        <v>1.18</v>
      </c>
      <c r="P56" s="278">
        <v>0.67585873246250616</v>
      </c>
      <c r="Q56" s="289" t="s">
        <v>73</v>
      </c>
    </row>
    <row r="57" spans="6:30">
      <c r="L57" s="286">
        <f>SUM(L55:L56)</f>
        <v>0.99999999999999989</v>
      </c>
      <c r="M57" s="60">
        <f>SUM(M54:M56)</f>
        <v>1</v>
      </c>
      <c r="O57" s="36"/>
    </row>
    <row r="58" spans="6:30" ht="15.75" thickBot="1"/>
    <row r="59" spans="6:30">
      <c r="L59" s="342" t="s">
        <v>143</v>
      </c>
      <c r="M59" s="292" t="s">
        <v>142</v>
      </c>
      <c r="N59" s="293" t="s">
        <v>141</v>
      </c>
      <c r="O59" s="294" t="s">
        <v>140</v>
      </c>
    </row>
    <row r="60" spans="6:30" ht="15.75" thickBot="1">
      <c r="L60" s="343">
        <f>1/(O60+N60-M60)</f>
        <v>0.69585997676124411</v>
      </c>
      <c r="M60" s="296">
        <f>((1/P55)-1)*M55*K55*F55</f>
        <v>9.4628218719071247E-2</v>
      </c>
      <c r="N60" s="296">
        <f>L55/P55</f>
        <v>0.59013585210915753</v>
      </c>
      <c r="O60" s="297">
        <f>L56/P56</f>
        <v>0.94156308973774938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Sieve Analysis</vt:lpstr>
      <vt:lpstr>Mix Design</vt:lpstr>
      <vt:lpstr>Sheet5</vt:lpstr>
      <vt:lpstr>Sheet3</vt:lpstr>
      <vt:lpstr>Sheet4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Dan Cook</cp:lastModifiedBy>
  <dcterms:created xsi:type="dcterms:W3CDTF">2011-05-20T00:14:59Z</dcterms:created>
  <dcterms:modified xsi:type="dcterms:W3CDTF">2014-03-20T20:17:55Z</dcterms:modified>
</cp:coreProperties>
</file>